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Powerpoint_Presentations\2020\RWA\2020-05-14\"/>
    </mc:Choice>
  </mc:AlternateContent>
  <bookViews>
    <workbookView xWindow="-105" yWindow="-105" windowWidth="19425" windowHeight="10425"/>
  </bookViews>
  <sheets>
    <sheet name="Master List" sheetId="1" r:id="rId1"/>
  </sheets>
  <definedNames>
    <definedName name="_xlnm.Print_Area" localSheetId="0">'Master List'!$A$1:$AU$130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5" i="1" l="1"/>
  <c r="O5" i="1"/>
  <c r="G5" i="1"/>
  <c r="H5" i="1" s="1"/>
  <c r="AL130" i="1" l="1"/>
  <c r="AL105" i="1" l="1"/>
  <c r="AL114" i="1" l="1"/>
  <c r="AL113" i="1"/>
  <c r="AL112" i="1"/>
  <c r="AL111" i="1"/>
  <c r="AL110" i="1"/>
  <c r="AL109" i="1"/>
  <c r="AL108" i="1"/>
  <c r="AL107" i="1"/>
  <c r="AL106" i="1"/>
  <c r="AL104" i="1"/>
  <c r="AL103" i="1"/>
  <c r="AL100" i="1"/>
  <c r="AL99" i="1"/>
  <c r="AL115" i="1"/>
  <c r="AL141" i="1" l="1"/>
  <c r="H141" i="1"/>
  <c r="AL140" i="1"/>
  <c r="H140" i="1"/>
  <c r="AL139" i="1"/>
  <c r="H139" i="1"/>
  <c r="AL138" i="1"/>
  <c r="H138" i="1"/>
  <c r="AL146" i="1" l="1"/>
  <c r="AL145" i="1"/>
  <c r="AL144" i="1"/>
  <c r="AL143" i="1"/>
  <c r="AL142" i="1"/>
  <c r="AL137" i="1" l="1"/>
  <c r="AL136" i="1"/>
  <c r="G136" i="1"/>
  <c r="H136" i="1" s="1"/>
  <c r="AL135" i="1"/>
  <c r="G135" i="1"/>
  <c r="H135" i="1" s="1"/>
  <c r="AL134" i="1"/>
  <c r="G134" i="1"/>
  <c r="H134" i="1" s="1"/>
  <c r="AL133" i="1"/>
  <c r="G133" i="1"/>
  <c r="H133" i="1" s="1"/>
  <c r="AL132" i="1"/>
  <c r="AL131" i="1"/>
  <c r="AL129" i="1" l="1"/>
  <c r="AL128" i="1"/>
  <c r="AL127" i="1" l="1"/>
  <c r="AL126" i="1"/>
  <c r="AL125" i="1"/>
  <c r="G125" i="1"/>
  <c r="AL124" i="1"/>
  <c r="AL123" i="1"/>
  <c r="H123" i="1"/>
  <c r="G123" i="1"/>
  <c r="AL122" i="1"/>
  <c r="AL121" i="1"/>
  <c r="AL120" i="1"/>
  <c r="AL119" i="1"/>
  <c r="AL118" i="1" l="1"/>
  <c r="AL117" i="1"/>
  <c r="AL116" i="1"/>
  <c r="AL98" i="1" l="1"/>
  <c r="AL97" i="1"/>
  <c r="AL96" i="1"/>
  <c r="AL95" i="1"/>
  <c r="AL94" i="1"/>
  <c r="AL93" i="1"/>
  <c r="AL92" i="1" l="1"/>
  <c r="AL91" i="1"/>
  <c r="AL90" i="1" l="1"/>
  <c r="P90" i="1"/>
  <c r="O90" i="1"/>
  <c r="N90" i="1"/>
  <c r="M90" i="1"/>
  <c r="H90" i="1"/>
  <c r="G90" i="1"/>
  <c r="AL89" i="1"/>
  <c r="P89" i="1"/>
  <c r="O89" i="1"/>
  <c r="N89" i="1"/>
  <c r="H89" i="1"/>
  <c r="G89" i="1"/>
  <c r="AL88" i="1"/>
  <c r="P88" i="1"/>
  <c r="O88" i="1"/>
  <c r="N88" i="1"/>
  <c r="M88" i="1"/>
  <c r="H88" i="1"/>
  <c r="G88" i="1"/>
  <c r="AL87" i="1"/>
  <c r="P87" i="1"/>
  <c r="O87" i="1"/>
  <c r="N87" i="1"/>
  <c r="M87" i="1"/>
  <c r="H87" i="1"/>
  <c r="G87" i="1"/>
  <c r="AL86" i="1"/>
  <c r="P86" i="1"/>
  <c r="O86" i="1"/>
  <c r="N86" i="1"/>
  <c r="M86" i="1"/>
  <c r="H86" i="1"/>
  <c r="G86" i="1"/>
  <c r="AL85" i="1"/>
  <c r="P85" i="1"/>
  <c r="O85" i="1"/>
  <c r="N85" i="1"/>
  <c r="M85" i="1"/>
  <c r="H85" i="1"/>
  <c r="G85" i="1"/>
  <c r="AL84" i="1"/>
  <c r="P84" i="1"/>
  <c r="O84" i="1"/>
  <c r="N84" i="1"/>
  <c r="M84" i="1"/>
  <c r="H84" i="1"/>
  <c r="G84" i="1"/>
  <c r="AL83" i="1"/>
  <c r="P83" i="1"/>
  <c r="O83" i="1"/>
  <c r="N83" i="1"/>
  <c r="M83" i="1"/>
  <c r="H83" i="1"/>
  <c r="G83" i="1"/>
  <c r="AL82" i="1"/>
  <c r="P82" i="1"/>
  <c r="O82" i="1"/>
  <c r="N82" i="1"/>
  <c r="M82" i="1"/>
  <c r="H82" i="1"/>
  <c r="G82" i="1"/>
  <c r="AL81" i="1"/>
  <c r="P81" i="1"/>
  <c r="O81" i="1"/>
  <c r="N81" i="1"/>
  <c r="M81" i="1"/>
  <c r="H81" i="1"/>
  <c r="G81" i="1"/>
  <c r="AL80" i="1"/>
  <c r="P80" i="1"/>
  <c r="O80" i="1"/>
  <c r="N80" i="1"/>
  <c r="M80" i="1"/>
  <c r="AL79" i="1"/>
  <c r="P79" i="1"/>
  <c r="O79" i="1"/>
  <c r="N79" i="1"/>
  <c r="M79" i="1"/>
  <c r="AL78" i="1"/>
  <c r="P78" i="1"/>
  <c r="AL77" i="1" l="1"/>
  <c r="N77" i="1"/>
  <c r="G77" i="1"/>
  <c r="H77" i="1" s="1"/>
  <c r="AL76" i="1"/>
  <c r="N76" i="1"/>
  <c r="G76" i="1"/>
  <c r="H76" i="1" s="1"/>
  <c r="AL75" i="1"/>
  <c r="N75" i="1"/>
  <c r="G75" i="1"/>
  <c r="H75" i="1" s="1"/>
  <c r="AL74" i="1" l="1"/>
  <c r="P74" i="1"/>
  <c r="G74" i="1"/>
  <c r="H74" i="1" s="1"/>
  <c r="AL73" i="1"/>
  <c r="G73" i="1"/>
  <c r="H73" i="1" s="1"/>
  <c r="AL72" i="1"/>
  <c r="P72" i="1"/>
  <c r="G72" i="1"/>
  <c r="H72" i="1" s="1"/>
  <c r="AL71" i="1"/>
  <c r="P71" i="1"/>
  <c r="G71" i="1"/>
  <c r="H71" i="1" s="1"/>
  <c r="AL70" i="1"/>
  <c r="G70" i="1"/>
  <c r="H70" i="1" s="1"/>
  <c r="AL69" i="1"/>
  <c r="G69" i="1"/>
  <c r="H69" i="1" s="1"/>
  <c r="AL68" i="1"/>
  <c r="G68" i="1"/>
  <c r="H68" i="1" s="1"/>
  <c r="AL67" i="1"/>
  <c r="P67" i="1"/>
  <c r="G67" i="1"/>
  <c r="H67" i="1" s="1"/>
  <c r="AL66" i="1"/>
  <c r="G66" i="1"/>
  <c r="H66" i="1" s="1"/>
  <c r="AL65" i="1"/>
  <c r="O65" i="1"/>
  <c r="G65" i="1"/>
  <c r="H65" i="1" s="1"/>
  <c r="AL64" i="1"/>
  <c r="P64" i="1"/>
  <c r="G64" i="1"/>
  <c r="H64" i="1" s="1"/>
  <c r="AL61" i="1" l="1"/>
  <c r="AL60" i="1"/>
  <c r="AL59" i="1"/>
  <c r="AL58" i="1"/>
  <c r="AL56" i="1"/>
  <c r="AL55" i="1"/>
  <c r="AL54" i="1"/>
  <c r="AL53" i="1"/>
  <c r="AL51" i="1"/>
  <c r="AL50" i="1"/>
  <c r="AL49" i="1"/>
  <c r="AL48" i="1"/>
  <c r="AL47" i="1"/>
  <c r="AL46" i="1"/>
  <c r="AL45" i="1"/>
  <c r="AL44" i="1"/>
  <c r="AL43" i="1"/>
  <c r="G43" i="1"/>
  <c r="H43" i="1" s="1"/>
  <c r="AL42" i="1"/>
  <c r="AL41" i="1" l="1"/>
  <c r="AL40" i="1"/>
  <c r="AL39" i="1"/>
  <c r="AL38" i="1"/>
  <c r="AL37" i="1"/>
  <c r="AL36" i="1"/>
  <c r="AL35" i="1"/>
  <c r="AL34" i="1"/>
  <c r="AL33" i="1"/>
  <c r="AL32" i="1" l="1"/>
  <c r="AL31" i="1"/>
  <c r="AL30" i="1" l="1"/>
  <c r="G30" i="1"/>
  <c r="H30" i="1" s="1"/>
  <c r="AL29" i="1"/>
  <c r="G29" i="1"/>
  <c r="H29" i="1" s="1"/>
  <c r="F28" i="1"/>
  <c r="AL28" i="1" s="1"/>
  <c r="AL27" i="1"/>
  <c r="G27" i="1"/>
  <c r="H27" i="1" s="1"/>
  <c r="AL26" i="1"/>
  <c r="G26" i="1"/>
  <c r="H26" i="1" s="1"/>
  <c r="AL25" i="1"/>
  <c r="G25" i="1"/>
  <c r="H25" i="1" s="1"/>
  <c r="AL24" i="1"/>
  <c r="G24" i="1"/>
  <c r="H24" i="1" s="1"/>
  <c r="AL23" i="1"/>
  <c r="G23" i="1"/>
  <c r="H23" i="1" s="1"/>
  <c r="AL22" i="1"/>
  <c r="G22" i="1"/>
  <c r="H22" i="1" s="1"/>
  <c r="AL21" i="1"/>
  <c r="G21" i="1"/>
  <c r="H21" i="1" s="1"/>
  <c r="AL20" i="1"/>
  <c r="G20" i="1"/>
  <c r="H20" i="1" s="1"/>
  <c r="AL19" i="1"/>
  <c r="G19" i="1"/>
  <c r="H19" i="1" s="1"/>
  <c r="AL18" i="1"/>
  <c r="AL17" i="1"/>
  <c r="AL16" i="1"/>
  <c r="AL15" i="1"/>
  <c r="G15" i="1"/>
  <c r="H15" i="1" s="1"/>
  <c r="F14" i="1"/>
  <c r="O14" i="1" s="1"/>
  <c r="AL13" i="1"/>
  <c r="G13" i="1"/>
  <c r="H13" i="1" s="1"/>
  <c r="AL12" i="1"/>
  <c r="T12" i="1"/>
  <c r="M12" i="1"/>
  <c r="N12" i="1" s="1"/>
  <c r="O12" i="1" s="1"/>
  <c r="P12" i="1" s="1"/>
  <c r="G12" i="1"/>
  <c r="AL11" i="1"/>
  <c r="M11" i="1"/>
  <c r="N11" i="1" s="1"/>
  <c r="G11" i="1"/>
  <c r="H11" i="1" s="1"/>
  <c r="AL10" i="1"/>
  <c r="M10" i="1"/>
  <c r="N10" i="1" s="1"/>
  <c r="G10" i="1"/>
  <c r="H10" i="1" s="1"/>
  <c r="AL9" i="1"/>
  <c r="M9" i="1"/>
  <c r="N9" i="1" s="1"/>
  <c r="G9" i="1"/>
  <c r="H9" i="1" s="1"/>
  <c r="AL8" i="1"/>
  <c r="AL7" i="1"/>
  <c r="AL6" i="1"/>
  <c r="AL4" i="1"/>
  <c r="M4" i="1"/>
  <c r="N4" i="1" s="1"/>
  <c r="O4" i="1" s="1"/>
  <c r="P4" i="1" s="1"/>
  <c r="F147" i="1" l="1"/>
  <c r="G28" i="1"/>
  <c r="H28" i="1" s="1"/>
  <c r="AL14" i="1"/>
  <c r="M14" i="1"/>
  <c r="P14" i="1"/>
  <c r="N14" i="1"/>
  <c r="G14" i="1"/>
  <c r="H14" i="1" s="1"/>
  <c r="AL147" i="1" l="1"/>
  <c r="G147" i="1"/>
  <c r="H147" i="1"/>
</calcChain>
</file>

<file path=xl/sharedStrings.xml><?xml version="1.0" encoding="utf-8"?>
<sst xmlns="http://schemas.openxmlformats.org/spreadsheetml/2006/main" count="2282" uniqueCount="691">
  <si>
    <t>$92,000 of government spending creates 1 job-year</t>
  </si>
  <si>
    <t>64% of the job-years represent direct and indirect effects</t>
  </si>
  <si>
    <t>ARRA - Simple Rule for Estimating Job-Years Created by Government Spending</t>
  </si>
  <si>
    <t xml:space="preserve">Project name </t>
  </si>
  <si>
    <t>Construction start date</t>
  </si>
  <si>
    <t>Construction finish date</t>
  </si>
  <si>
    <t>If N, when will it be completed/status?</t>
  </si>
  <si>
    <t>Local share amount</t>
  </si>
  <si>
    <t>Source of local share funding (rate revenue, connection fees, other funding sources)</t>
  </si>
  <si>
    <t>Federal Agency or program source of funding (if known, if not known, leave blank)</t>
  </si>
  <si>
    <t>State Agency or program source of funding (if known, if not known, leave blank)</t>
  </si>
  <si>
    <t>Known stakeholder support (Federal, State and local)</t>
  </si>
  <si>
    <t>Other local or regional benefits that will stimulate economy of create jobs? (Narrative)</t>
  </si>
  <si>
    <t>Project contact (name, title, phone number and email)</t>
  </si>
  <si>
    <t>Agency Priority (1,2,3,4…)</t>
  </si>
  <si>
    <t>Project benefits: Does the project provide benefits to the Federal Government? (Y/N)</t>
  </si>
  <si>
    <t>Project benefits: Does the project provide climate change or resiliency benefits? (Y/N)</t>
  </si>
  <si>
    <t>Project benefits: Does the project provide benefits to disadvantaged communities? (Y/N)</t>
  </si>
  <si>
    <t>Please described what can be accomplished in the project in the first 100 days, if fully funded. (Narrative)</t>
  </si>
  <si>
    <t>Total Cost of Project</t>
  </si>
  <si>
    <t>Federal/State funding needed</t>
  </si>
  <si>
    <t>Estimated jobs created (FTE's) (Formula driven, no entry)</t>
  </si>
  <si>
    <t>Other information (Narrative)</t>
  </si>
  <si>
    <t>Brief Description (Narrative)</t>
  </si>
  <si>
    <t>Agency Name (Individual or Partnerships (name all agencies involved)</t>
  </si>
  <si>
    <t>Water Supply</t>
  </si>
  <si>
    <t>Water Quality</t>
  </si>
  <si>
    <t>Water Security</t>
  </si>
  <si>
    <t>Storm water</t>
  </si>
  <si>
    <t>Flood</t>
  </si>
  <si>
    <t>Water Treatment</t>
  </si>
  <si>
    <t>How much can be spent within…</t>
  </si>
  <si>
    <t>90 days</t>
  </si>
  <si>
    <t>180 days</t>
  </si>
  <si>
    <t>270 days</t>
  </si>
  <si>
    <t>1 year</t>
  </si>
  <si>
    <t>Wastewater</t>
  </si>
  <si>
    <t>Recycled Water</t>
  </si>
  <si>
    <t>If "Yes" in Columns V - Y, describe those benefits (Narrative)</t>
  </si>
  <si>
    <t>Additional Project Benefits (place "X" in all that apply)</t>
  </si>
  <si>
    <t>Environmental (NEPA/CEQA) and permitting complete? (Y/N)</t>
  </si>
  <si>
    <t>Project benefits: Does the project provide benefits outlined as a priority by the State of CA? Note: Use the State's Draft Resiliency Portfolio as a guiding document or other known current state policies. (Y/N)</t>
  </si>
  <si>
    <t>1a</t>
  </si>
  <si>
    <t>City of Roseville</t>
  </si>
  <si>
    <t>West Side Tank and Pump Station</t>
  </si>
  <si>
    <t>The proposed project is to build two 6 million gallon pre-stressed  water tanks, with a pump station facility and a crew building to serve the water demands of west Roseville.</t>
  </si>
  <si>
    <t>Connection fees</t>
  </si>
  <si>
    <t>Evaluated in the Amoruso Ranch Specific Plan EIR (SCH No. 2008032115), certified June 15,2016. Meets the requirements of Section 15183 of the State CEQA Guidelines,</t>
  </si>
  <si>
    <t>Construction will commence on the tanks and pump stations.</t>
  </si>
  <si>
    <t>Local support of City Council and development community.</t>
  </si>
  <si>
    <t>Yes</t>
  </si>
  <si>
    <t>No</t>
  </si>
  <si>
    <t>This project is ready to commence and will provide both immediate economic stimulus and will create jobs.</t>
  </si>
  <si>
    <t>X</t>
  </si>
  <si>
    <t xml:space="preserve">Sean Bigley, Assistant EU Director, 916-605-9780, sbigley@roseville.ca.us </t>
  </si>
  <si>
    <t>1b</t>
  </si>
  <si>
    <t>Rate revenue/State Gas Tax/Highway User Tax Funding</t>
  </si>
  <si>
    <t>CEQA CatEx Class 2</t>
  </si>
  <si>
    <t>Completion of approximately 30% of the water mains rehabilitation construction</t>
  </si>
  <si>
    <t>Local support of City Council</t>
  </si>
  <si>
    <t>Will provide economic stimulus by creating jobs</t>
  </si>
  <si>
    <t>x</t>
  </si>
  <si>
    <t>Sean Bigley, Assistant Environmental Utilities Director
(916) 774-5513
sbigley@roseville.ca.us</t>
  </si>
  <si>
    <t>1c</t>
  </si>
  <si>
    <t>N</t>
  </si>
  <si>
    <t>Notice of Exemption to be filed 30 days prior to project award to contractor</t>
  </si>
  <si>
    <t>2b</t>
  </si>
  <si>
    <t>Rate revenue</t>
  </si>
  <si>
    <t>Rate Revenue</t>
  </si>
  <si>
    <t>2a</t>
  </si>
  <si>
    <t>Aquifer Storage Recovery - Monitoring Wells</t>
  </si>
  <si>
    <t>Drilling and construction of up to 8 pilot borehole/monitoring wells will provide data for the preliminary design of ASR production wells and aid in local and regional groundwater management.  Three benefits:  
1) Used to provide pre-design information for ASR Production Wells, limiting fiscal risk if site is discovered to be unworkable
2) Provides important groundwater elevation and water quality data used to manage ASR implementation
3) Provides groundwater elevation and water quality data to support the sustainable management of the basin to meet state regulatory requirements.</t>
  </si>
  <si>
    <t>CEQA CatEx Class 6</t>
  </si>
  <si>
    <t>Drilling of 8 boreholes and contraction of monitoring wells</t>
  </si>
  <si>
    <t>Local support of City Council and other water agencies within the region.</t>
  </si>
  <si>
    <t>Yes, indirectly</t>
  </si>
  <si>
    <t>The project aids in reducing reliance on federal CVP water supplies, and supports conjunctive management of water resources consistent with State law (SGMA requirements), and provides resiliency benefits</t>
  </si>
  <si>
    <t>2c</t>
  </si>
  <si>
    <t>Aquifer Storage Recovery - Production Wells</t>
  </si>
  <si>
    <t xml:space="preserve">Drilling and Construction of 2 ASR production wells and pump stations capable of providing approximately 6 million gallon per day of water supply.   </t>
  </si>
  <si>
    <t>Connection Fees</t>
  </si>
  <si>
    <t>Supplemental Environmental Impact Report</t>
  </si>
  <si>
    <t>Summer 2020</t>
  </si>
  <si>
    <t>Not applicable</t>
  </si>
  <si>
    <t>RWA and Local Support of City Council</t>
  </si>
  <si>
    <t xml:space="preserve">Drilling and Construction of 4 ASR production wells and pump stations capable of providing approximately 12 million gallon per day of water supply.   </t>
  </si>
  <si>
    <t>More than 1 year</t>
  </si>
  <si>
    <t>Water Treatment Plant - Clarifier 3 Refurbishment</t>
  </si>
  <si>
    <t>This project would refurbish existing Clarifier 3 at the Barton Road Water Treatment Plant by rehabilitating the steel coating and clarifier drive.</t>
  </si>
  <si>
    <t>Completion of Engineering Design and 20% of construction completion</t>
  </si>
  <si>
    <t>Water Treatment Plant - Rehabilitation of Reclaim Basins 1 and 2</t>
  </si>
  <si>
    <t>This project would rehabilitate existing reclaimed water basins 1 and 2 by repairing concrete sidewalls, replacing subsided slab in Basin 2, and replace underdrain collection systems.</t>
  </si>
  <si>
    <t>Water Treatment Plant - 72-inch Pipeline</t>
  </si>
  <si>
    <t>This project would rehabilitate the existing 72-in diameter Applied Pipeline by shoring the pipeline, refitting pipe joints, relocation and rehabilitation of adjacent stairs and piping.</t>
  </si>
  <si>
    <t>3c</t>
  </si>
  <si>
    <t>Tank Replacement Project</t>
  </si>
  <si>
    <t>This project would be used to replace the existing 2MG steel tank at the Barton Road Water Treatment Plant with a new 6MG concrete tank; procurement assumed to be design build.</t>
  </si>
  <si>
    <t>Notice of Exemption to be filed 30 days prior to design build project award</t>
  </si>
  <si>
    <t>Completion of  Design (for design build project) and procurement of materials</t>
  </si>
  <si>
    <t>Atlantic Street Railroad Crossings</t>
  </si>
  <si>
    <t>Slip lining of three existing 12-inch diameter pipelines crossing under UPRR railroad tracks</t>
  </si>
  <si>
    <t>Project construction can be completed in first 100 days.</t>
  </si>
  <si>
    <t>3a</t>
  </si>
  <si>
    <t>Well 12 Backwash Outfall</t>
  </si>
  <si>
    <t>Restoration of existing drainage path used by Well 12 for backwashing operations. Includes recontouring drainage path, installing  stabilization materials vegetative features and riparian improvements.</t>
  </si>
  <si>
    <t>CEQA complete, but 401 and 404 permit to be complete by July 1, 2020</t>
  </si>
  <si>
    <t>Grading and installation of non  vegetative stabilization materials</t>
  </si>
  <si>
    <t>24-inch Water Transmission Main Rehabilitation / Replacement</t>
  </si>
  <si>
    <t>This project would be used to rehabilitate or replace an existing 24-inch diameter water transmission main located at a creek/riparian crossing.</t>
  </si>
  <si>
    <t>Complete rehabilitation or replacement of existing 24-in diameter transmission main</t>
  </si>
  <si>
    <t>Well 12 Redevelopment</t>
  </si>
  <si>
    <t xml:space="preserve">This project include the redevelopment of Aquifer Storage and Production Well 12.  Periodic redevelopment of all wells is necessary to ensure to maximize the life span and maintain the operational readiness of these water supply assets.  Redevelopment of this well is necessary to preempt the potential for significant corrosion and bacterial growth in the well.  </t>
  </si>
  <si>
    <t>Categorical Exemption</t>
  </si>
  <si>
    <t>Complete rehabilitation of the well.</t>
  </si>
  <si>
    <t>City of Roseville with CHWD</t>
  </si>
  <si>
    <t>Intertie Improvement Project</t>
  </si>
  <si>
    <t xml:space="preserve">Installation and retrofit of two interties with Citrus Heights Water District (CHWD). These interties would allow water to flow either to or from CHWD and would provide water supply reliability. </t>
  </si>
  <si>
    <t>Now</t>
  </si>
  <si>
    <t>Yes, CEQA Cat Ex</t>
  </si>
  <si>
    <t xml:space="preserve">Parts ordered and construction will commence in the first 100 days. </t>
  </si>
  <si>
    <t>Local support including Citrus Heights Water District.</t>
  </si>
  <si>
    <t>This project is ready to begin and will provide economic stimulus and create a job. Also, this project will increase regional water supply reliability by providing less reliance on USBR.</t>
  </si>
  <si>
    <t>Diamond Oaks Fire Hydrant Replacement Project</t>
  </si>
  <si>
    <t>This project will relocate 50 fire hydrants located in the middle of City sidewalks within the first 100 days of full funding.   Otherwise this work will be done over several years in phases.</t>
  </si>
  <si>
    <t>Approximately _ number of hydrants will be relocated with each phase.  Within the first 100 days, it's estimated _ number of hydrants will be relocated.</t>
  </si>
  <si>
    <t>Pure Roseville Potable Reuse Pilot Facility</t>
  </si>
  <si>
    <t>Construct pilot facility to demonstrate alternative technology for potable reuse.</t>
  </si>
  <si>
    <t>Water Infrastructure Finance and Innovation Act Application in Progress</t>
  </si>
  <si>
    <t>Fall 2020</t>
  </si>
  <si>
    <t>Complete construction documents.</t>
  </si>
  <si>
    <t>EPA, California Water Resources Control Board - Division of Drinking Water, City Council</t>
  </si>
  <si>
    <t>Y</t>
  </si>
  <si>
    <t>Ken Glotzbach, Assistant Environmental Utilities Director, 916-774-5754, kglotzbach@roseville.ca.us</t>
  </si>
  <si>
    <t>Dry Creek Wastewater Treatment Plant - Cooling Tower Expansion</t>
  </si>
  <si>
    <t>Expand the existing cooling tower facility with two new units.</t>
  </si>
  <si>
    <t>South Placer Wastewater Authority partnership share</t>
  </si>
  <si>
    <t>Within 6 months of construction</t>
  </si>
  <si>
    <t xml:space="preserve">Complete 75% of construction documents. </t>
  </si>
  <si>
    <t xml:space="preserve">Local support of City Council South Placer Wastewater Authority </t>
  </si>
  <si>
    <t>Dry Creek Wastewater Treatment Plant - Barscreen influent Pipeline Rehabilitation</t>
  </si>
  <si>
    <t xml:space="preserve">Rehabilitate the existing 66-inch influent pipe. Construct new parallel influent pipeline. Rehabilitate the influent junction structure flow control gates and lining. </t>
  </si>
  <si>
    <t>Pleasant Grove Wastewater Treatment Plant - New Maintenance Building</t>
  </si>
  <si>
    <t>Construct new maintenance building.</t>
  </si>
  <si>
    <t>Pleasant Grove Wastewater Treatment Plant - Tertiary Filter Replacement Project</t>
  </si>
  <si>
    <t>Replace existing tertiary filtration system.</t>
  </si>
  <si>
    <t>Dry Creek Wastewater Treatment Plant - New Administration Building</t>
  </si>
  <si>
    <t>Construct new administration building.</t>
  </si>
  <si>
    <t>Dry Creek Wastewater Treatment Plant - Digester 1 Roof Replacement Project</t>
  </si>
  <si>
    <t xml:space="preserve">Replace the roof of Digester 1, which is nearing the end of it's useful life. Replacement would require construction and installation of a new roof, new digester gas piping, and new digester mixing system. </t>
  </si>
  <si>
    <t>Dry Creek Wastewater Treatment Plant - Motor Control Center and Switchgear Replacement</t>
  </si>
  <si>
    <t>Replace electrical equipment, install new wiring, testing, for North 480 motor control center (MCC), South 480 switchgear, final effluent MCC, and Digester 1 MCC.</t>
  </si>
  <si>
    <t>Dry Creek Wastewater Treatment Plant - Aeration Basin 300/400 Rehabilitation</t>
  </si>
  <si>
    <t>Rehabilitate basin structure, replace existing aeration equipment that has reached the end of its useful life.</t>
  </si>
  <si>
    <t>Secondary Clarifier Mechanism Rehabilitation</t>
  </si>
  <si>
    <t>Replace secondary clarifier mechanisms at both the Pleasant Grove and Dry Creek Wastewater Treatment Plants.</t>
  </si>
  <si>
    <t>Dry Creek Wastewater Treatment Plant - Digester Gas Piping Replacement</t>
  </si>
  <si>
    <t>Replace digester piping that is nearing the end of its useful life.</t>
  </si>
  <si>
    <t>Dry Creek Wastewater Treatment Plant - Grit Basin and Influent Channel Rehabilitation</t>
  </si>
  <si>
    <t>Rehabilitate grit basin and influent channel: replace bubble diffuser system, repair channel liner, replace gates, and repair concrete.</t>
  </si>
  <si>
    <t>Orange Vale Water Company</t>
  </si>
  <si>
    <t>Rate and connection fees</t>
  </si>
  <si>
    <t>Add new Well</t>
  </si>
  <si>
    <t>The purpose of this project is to install a new well to provide ground water when there is a shortage of surface water.</t>
  </si>
  <si>
    <t>Can raise rates to cover half of cost</t>
  </si>
  <si>
    <t>Is the project ready for construction now, in 90 days, 180 days, 270 days or in 1 year? (Answer: 0, 90, 180, 270, 365)</t>
  </si>
  <si>
    <t>SCWA</t>
  </si>
  <si>
    <t>Arden Service Area Water Mains &amp; Meters - Phase 2B</t>
  </si>
  <si>
    <t>The proposed project is to build 3.9 miles of new water mains and 310 water meters in Arden Service Area.</t>
  </si>
  <si>
    <t>Construction will commence on the main lines.</t>
  </si>
  <si>
    <t>Local support of the County Board of Supervisors and SCWA Board of Directors</t>
  </si>
  <si>
    <t>David Bolen, Senior Civil Engineer, 916-874-8645, bolend@saccounty.net</t>
  </si>
  <si>
    <t>Arden Way Well</t>
  </si>
  <si>
    <t>The proposed project is to equip a new 1,800 gpm well to supplement and ultimately replace declining existing well in Ardern Service Area.</t>
  </si>
  <si>
    <t>Construction will commence on the site improvements.</t>
  </si>
  <si>
    <t>Bradshaw Road Transmission Main - Crisswell Drive to Elk Grove Boulevard</t>
  </si>
  <si>
    <t>The proposed project is to build 700 LF of new transmission main to expand the conjunctive use service area in SCWA's Central Service Area.</t>
  </si>
  <si>
    <t>Construction will commence on the main line.</t>
  </si>
  <si>
    <t>Bruceville Road Transmission Main - Di Lusso Drive to Laguna Boulevard</t>
  </si>
  <si>
    <t>The proposed project is to build 1,270 LF of new transmission main to expand the conjunctive use service area in SCWA's South Service Area.</t>
  </si>
  <si>
    <t>Elk Grove-Florin Road Transmission Main - Vintage Park Drive to Cobble Crest Drive</t>
  </si>
  <si>
    <t>The proposed project is to build 2,700 LF of new transmission main to expand the conjunctive use service area in SCWA's South Service Area.</t>
  </si>
  <si>
    <t>Excelsior Pipeline Replacement Project</t>
  </si>
  <si>
    <t xml:space="preserve">Replacing 800 LF of 6" pipe with 12" pipe.    </t>
  </si>
  <si>
    <t>Project will be completed.</t>
  </si>
  <si>
    <t>This project will be ready to commence and will provide both immediate economic stimulus and will create jobs.</t>
  </si>
  <si>
    <t>Steve Pimentel, Senior Civil Engineer, (916) 876-6014, pimentelst@saccounty.net</t>
  </si>
  <si>
    <t>Mather Housing WTP Rehabilitation Project</t>
  </si>
  <si>
    <t>Seismic retrofit and recoating of the water storage tank.  Upgrade chemical system, add booster pumps, site facility upgrades (paving, security).</t>
  </si>
  <si>
    <t>60% of the seismic retrofit for the water storage tank will be completed.</t>
  </si>
  <si>
    <t>This project will create one full time O&amp;M position at SCWA.</t>
  </si>
  <si>
    <t>Waterman WTP Storage Tank Recoating Project</t>
  </si>
  <si>
    <t>This project will recoat tank #1 at the Waterman Water Treatment Plant.</t>
  </si>
  <si>
    <t>The project will be 90% complete.</t>
  </si>
  <si>
    <t>Dwight Road WTP Storage Tank Recoating Project</t>
  </si>
  <si>
    <t>This project will recoat the storage tank at the Dwight Road Water Treatment Plant.</t>
  </si>
  <si>
    <t>El Dorado Irrigation District</t>
  </si>
  <si>
    <t>Main Ditch Piping</t>
  </si>
  <si>
    <t>The project will replace a 3-mile open, unlined ditch, that conveys a significant portion of the Districts water supply, with a new 42-inch pipeline to reduce losses and improve source water quality.</t>
  </si>
  <si>
    <t>Water rates, $1,000,000 USBR Watersmart grant</t>
  </si>
  <si>
    <t>USBR Watersmart grant</t>
  </si>
  <si>
    <t>Construction of new pipeline can proceed</t>
  </si>
  <si>
    <t>USBR</t>
  </si>
  <si>
    <t>Maintain water supply reliability, water conservation/efficiency, reduced losses, protect water quality, increase hydroelectric power generation, reduce pumping costs.</t>
  </si>
  <si>
    <t>Kailee Delongchamp, Associate Engineer, 530-642-4078, kdelongchamp@eid.org</t>
  </si>
  <si>
    <t>Folsom Lake Intake Improvements</t>
  </si>
  <si>
    <t>The Folsom Lake Intake Improvements Project delivers District water supplies available at Folsom Lake to the El Dorado Hills Water Treatment Plant and is critical to service reliability for the El Dorado Hills service area. This rehabilitation project will provide reliable pumping capacity by constructing four new submersible pumps and casings with temperature control capability.</t>
  </si>
  <si>
    <t xml:space="preserve">Water rates, FCC's, $4.3M USBR Federal Cost Share
</t>
  </si>
  <si>
    <t>USBR Federal Cost Share for TCD</t>
  </si>
  <si>
    <t>Construction of project can proceed</t>
  </si>
  <si>
    <t>Maintain water supply reliability, Folsom Lake cold water pool management</t>
  </si>
  <si>
    <t>Jon Money, Senior Engineer, 530-642-4090, moneyj@eid.org</t>
  </si>
  <si>
    <t>Flume 38-40 replacement</t>
  </si>
  <si>
    <t>The project will replace a wooden flume section on the El Dorado Canal that conveys a significant portion of District's water supplies.  Flume will be replaced with a concrete canal.</t>
  </si>
  <si>
    <t>Water rates and FCC's</t>
  </si>
  <si>
    <t>Project can be completed</t>
  </si>
  <si>
    <t>Maintain water supply reliability, infrastructure replacement/renewal</t>
  </si>
  <si>
    <t>Cary Mutschler, Senior Engineer, 530-642-4182, cmutschler@eid.org</t>
  </si>
  <si>
    <t>Pacific Tunnel Improvements</t>
  </si>
  <si>
    <t>The project will rehabilitate a wood lined tunnel that is part of the District's water supply conveyance system</t>
  </si>
  <si>
    <t>Forebay Road Waterline Replacement</t>
  </si>
  <si>
    <t xml:space="preserve">The District has experienced numerous leaks over the past 15 years on 5,000 feet of 6” and 8"steel and asbestos cement pipe in Forebay Road and surrounding streets between Pony Express Trail and Deep Haven Road. Pipeline will be replaced to reduce the potential for contamination of the drinking water supply, increase reliability, reduce maintenance expenditures, and decrease losses.   </t>
  </si>
  <si>
    <t>Water rates</t>
  </si>
  <si>
    <t>Construction can commence</t>
  </si>
  <si>
    <t>Maintain water supply reliability, Infrastructure replacement/renewal, reduce water loss</t>
  </si>
  <si>
    <t>Project will provide economic stimulus and job creation as well as increase reliability of the District's water system</t>
  </si>
  <si>
    <t>Patrick Wilson, Senior Engineer, 530-642-4079, pwilson@eid.org</t>
  </si>
  <si>
    <t>Easy Street Waterline Replacement</t>
  </si>
  <si>
    <t>Replacement of 3,700 feet of 4" and 6" steel and AC drinking pipe in Pollock Pines that has experienced numerous leaks and breaks over the years.</t>
  </si>
  <si>
    <t>Sly Park Intertie</t>
  </si>
  <si>
    <t xml:space="preserve">Replacement of the Sly Park Intertie, a key component of supply reliability in times of drought and during emergencies.  It provides water delivery flexibility between Jenkinson Reservoir and Forebay supplies.  The Intertie includes approximately 3.4 miles of 22"/30" steel waterline built under emergency conditions just after the 1976-77 drought.  The unlined pipeline has corroded significantly, resulting in numerous leaks and is currently out of service.  </t>
  </si>
  <si>
    <t>Flume 30 replacement</t>
  </si>
  <si>
    <t>Project will complete design and finalize permitting.</t>
  </si>
  <si>
    <t>Water supply reliability, infrastructure replacement/renewal</t>
  </si>
  <si>
    <t>Project will provide economic stimulus and job creation</t>
  </si>
  <si>
    <t>Collection Facility Relocation</t>
  </si>
  <si>
    <t>The Collection Facility Relocation Project will construct a corporation yard and pre-fabricated metal building to house the wastewater collection system operations staff.</t>
  </si>
  <si>
    <t>Wastewater rates</t>
  </si>
  <si>
    <t>Project will complete a portion of design</t>
  </si>
  <si>
    <t>Local Support EDHCSD</t>
  </si>
  <si>
    <t>This project will provide both  economic stimulus and will create jobs.</t>
  </si>
  <si>
    <t>Liz Carrington, Senior Civil Engineer, 530-642-4077, lcarrington@eid.org</t>
  </si>
  <si>
    <t>Town Center Force Main Phase 4</t>
  </si>
  <si>
    <t>The Town Center Force Main Phase 4  project is the final phase of the Town Center Force Main replacement effort.  AC pipeline prone to failure will be replaced with new PVC pipe.</t>
  </si>
  <si>
    <t>Wastewater rates and FCC's</t>
  </si>
  <si>
    <t>Project will be in construction</t>
  </si>
  <si>
    <t>Reduction in sanitary sewer overflows to waters of the State</t>
  </si>
  <si>
    <t>Project will provide economic stimulus and job creation as well as increase reliability of the District's wastewater collection system</t>
  </si>
  <si>
    <t>Deer Creek Wastewater Treatment Plant Process Control Improvements</t>
  </si>
  <si>
    <t>The Deer Creek Wastewater Treatment Plant’s SCADA system will be upgraded to eliminate legacy software and products, update visualization and interface screens, improve long term reliability and maintenance of the system, create a backbone for the easy integration of future process upgrades, and reduce manual operation of plant processes by operations staff.</t>
  </si>
  <si>
    <t>Construction will commence with conduit and cable placement and initial PLC programming.</t>
  </si>
  <si>
    <t xml:space="preserve"> X </t>
  </si>
  <si>
    <t>EDHWWTP WAS DAFT</t>
  </si>
  <si>
    <t>Cat Ex, 15 days</t>
  </si>
  <si>
    <t>Project will provide economic stimulus and job creation as well as increase reliability of the District's wastewater treatment system</t>
  </si>
  <si>
    <t>Strolling Hills Pipeline</t>
  </si>
  <si>
    <t>The Strolling Hills Pipeline will replace approximately 6,000 LF of aging wastewater pipeline prone to failure and sanitary sewer overflows.</t>
  </si>
  <si>
    <t>Mother Lode Force Main (4 Phases)</t>
  </si>
  <si>
    <t>The Mother Lode Force Main project will replace aging and undersized sections of the 9-mile long, asbestos cement force main prone to failure and sanitary sewer overflows. Approximately 5 of the 9 miles are in need of replacement</t>
  </si>
  <si>
    <t>180 Days</t>
  </si>
  <si>
    <t>Project will be in design</t>
  </si>
  <si>
    <t>Collection System PLC Upgrade</t>
  </si>
  <si>
    <t>Wastewater Lift Station Upgrade Program</t>
  </si>
  <si>
    <t>Wastewater Communication Upgrades</t>
  </si>
  <si>
    <t>The Wastewater Communication Upgrade project will install updated communication and electrical components at 8 lift station sites.  Upgrades will provide operations staff with remote visibility of wetwell level, pump run times, and alarms along with remote control of pump operation.</t>
  </si>
  <si>
    <t>Project will complete design and initiate construction</t>
  </si>
  <si>
    <t>El Dorado Powerhouse Roof &amp; Access Improvements</t>
  </si>
  <si>
    <t>The project will replace the roof covering of El Dorado Powerhouse mitigating a hazardous condition whereby roof leakage is in contact with electrical controls and  high voltage (6,600 Volt) bus work and switchgear equipment.  The project will also create safe access to the roof for the recovering and future maintenance by providing adequate separation from high voltage energized equipment.</t>
  </si>
  <si>
    <t>Construction substantially complete</t>
  </si>
  <si>
    <t>Maintain water supply reliability, Infrastructure replacement/renewal</t>
  </si>
  <si>
    <t>John Kessler, Chief Dam Safety Engineer, 530-642-4056, jkessler@eid.org</t>
  </si>
  <si>
    <t xml:space="preserve">Pressure Reducing Stations Communications Upgrade to El Dorado Main #2 </t>
  </si>
  <si>
    <t>Six pressure reducing stations are in need of communications upgrades to bring them into SCADA. This upgrade would allow the valves to be controlled from SCADA helping to better stabilize and control the system. Additionally the large meters on EDM #2 will be replaced so that accurate flows can be read in SCADA and used to control the PRS'.</t>
  </si>
  <si>
    <t>Project will complete design</t>
  </si>
  <si>
    <t>Project will provide economic stimulus and job creation as well as increase reliability of the District's transmission system</t>
  </si>
  <si>
    <t>Reservoir 2-6 PRS Upgrade</t>
  </si>
  <si>
    <t>PRS upgrade including the installation of new 12" Sleeve Valves to replace the temporary 12" cla-val's that were installed under an emergency.</t>
  </si>
  <si>
    <t>Project can be designed and made ready for bid.</t>
  </si>
  <si>
    <t>El Dorado Hills Wastewater Treatment Plant Ferric  Chloride Facilities for Stuvite Control</t>
  </si>
  <si>
    <t>A ferric chloride storage facility will be constructed along with injection piping, quills, and appurtenances to allow for chemical dosing directly upstream of the treatment plans anaerobic digester. Piping and appurtenances at and directly downstream of the injection point may need to be modified to accommodate the corrosive nature of the ferric chloride.</t>
  </si>
  <si>
    <t>Construction will commence on the storage facility and appurtenances.</t>
  </si>
  <si>
    <t>Rancho Ponderosa LS Relocation</t>
  </si>
  <si>
    <t xml:space="preserve">The existing Rancho Ponderosa Wastewater Lift Station was constructed without securing a viable property easement to access and service the lift station. The lift station currently serves 16 EDU's.  This project will relocating the lift station to an adjacent site. </t>
  </si>
  <si>
    <t>Project plans an specs will be finalized and the project will move to the bid phase</t>
  </si>
  <si>
    <t>City of Folsom</t>
  </si>
  <si>
    <t>Water Treatment Plant Pretreatment Systems Improvement Project</t>
  </si>
  <si>
    <t xml:space="preserve">This project involves re-rating the current Actiflo trains from 20 MGD to 25 MGD along with modifying Basin 5 to increase capacity from 15 MGD to 25 MGD. This project will allow the City to meet capacity during buildout conditions as well as provide redundancy. </t>
  </si>
  <si>
    <t>Rates and impact fees</t>
  </si>
  <si>
    <t>Begin construction of Acti-Flo upgrades. Basin 5 will commence when Acti-Flo is completed.</t>
  </si>
  <si>
    <t>City Council</t>
  </si>
  <si>
    <t>This project  will provide both immediate economic stimulus and will create jobs.</t>
  </si>
  <si>
    <t>Marcus Yasutake, Environmental and Water Resources Director, 916-461-6161, myasutake@folsom.ca.us</t>
  </si>
  <si>
    <t>Water Treatment Plant Recycled Backwash Capacity Project</t>
  </si>
  <si>
    <t xml:space="preserve">This project involves the replacement and upsizing of the City's WTP reclaimed backwash water pumps and pipeline. This project will allow the City to recycle 10% of design capacity. </t>
  </si>
  <si>
    <t>Commence construction</t>
  </si>
  <si>
    <t>Water Treatment Plant Lime System Upgrades Project</t>
  </si>
  <si>
    <t>The project involves rehabilitating the existing lime treatment system at the City's water treatment plant.</t>
  </si>
  <si>
    <t xml:space="preserve">Commence construction </t>
  </si>
  <si>
    <t>Willow Hill Reservoir Valve Replacement</t>
  </si>
  <si>
    <t>The project involves the replacement of an existing water valve at the Willow Hill Dam and Reservoir. The Division of Safety of Dams requires the City to replace an existing valve.</t>
  </si>
  <si>
    <t>Rates</t>
  </si>
  <si>
    <t>Commence and complete construction</t>
  </si>
  <si>
    <t xml:space="preserve">City Council and California Department of Water Resources - Division of Safety of Dams </t>
  </si>
  <si>
    <t>Miscellaneous Water System Rehabilitation Project No. 2</t>
  </si>
  <si>
    <t>This project involves various water system upgrades and interties to improve system performance, improve water quality, and improve fire flow protection.</t>
  </si>
  <si>
    <t>Ashland Water Project No. 1</t>
  </si>
  <si>
    <t>This project involves rehabilitating an existing pipeline that serves as an emergency intertie between the City and San Juan Water District.</t>
  </si>
  <si>
    <t>City Council, San Juan Water District</t>
  </si>
  <si>
    <t>Ashland Water Project No. 2</t>
  </si>
  <si>
    <t>This project involves  water system upgrades  to improve system performance, improve water quality, and improve fire flow protection. The City has previously had two water main breaks in this area that interrupted service to hundreds of customers and multiple businesses.</t>
  </si>
  <si>
    <t>Greenback Sewer and Pump Station No. 3 Improvements</t>
  </si>
  <si>
    <t>This project will redirect 3 sewer service lines from Pump Station No. 3 to Pump Station No. 2. Pump Station No. 3 will be updated and serve as a backup to Pump Station No. 2 in the event of an emergency. Additional work within Greenback and Folsom-Auburn will need to occur to redirect the sewer flows.</t>
  </si>
  <si>
    <t>Natoma Alley Rehabilitation and Replacement Project</t>
  </si>
  <si>
    <t>Oak Avenue Pump Station Peak Wet Weather Flow Relief</t>
  </si>
  <si>
    <t>The project involves improving the performance of the Oak Avenue Pump Station Project and associated sewer pipe through upgrades or replacement of existing sewer infrastructure.</t>
  </si>
  <si>
    <t>Folsom Boulevard Sewer Main Rehabilitation and Replacement Project</t>
  </si>
  <si>
    <t>Florin Resource Conservation District/Elk Grove Water District</t>
  </si>
  <si>
    <t>Advanced Metering Infrastructure (AMI)</t>
  </si>
  <si>
    <t>Upon funding approval as the project is categorically exempt from CEQA under Title 14 CCR, Class 2, Section 15302(c), "Replacement of existing utility systems and/or facilities involving negligible or no expansion of capacity."</t>
  </si>
  <si>
    <t>Construction will commence to install the AMI collector (Base Station), AMI hardware, AMI  software and transceivers on each meter.</t>
  </si>
  <si>
    <t>State Water Resources Control Board supports water conservation measures.</t>
  </si>
  <si>
    <t>This project can be constructed using required social distancing measures.</t>
  </si>
  <si>
    <t xml:space="preserve">Bruce Kamilos, Assistant General Manager, 916-585-9385, bkamilos@egwd.org </t>
  </si>
  <si>
    <t>City of Lincoln</t>
  </si>
  <si>
    <t>Railroad Crossing at McBean Park Drive</t>
  </si>
  <si>
    <t xml:space="preserve">The proposed project would replace the existing deteriorated 14-inch ACP pipe with a new 18-inch transmission main.  </t>
  </si>
  <si>
    <t>Utility rates</t>
  </si>
  <si>
    <t xml:space="preserve">The project can commence consultant procurement for design and environmental.  </t>
  </si>
  <si>
    <t>Ray Leftwich, Public Works Director/City Engineer, 916-434-2457, 
ray.leftwich@lincolnca.gov</t>
  </si>
  <si>
    <t>Water Distribution Rehabilitation FY21/22</t>
  </si>
  <si>
    <t xml:space="preserve">The proposed project would replace old and deteriorated water pipelines and fire hydrants that provide inadequate fire flow and water pressure.  Repair or replace various sized water valves.  Replace water laterals that have a history of leaking. The project includes replacement of approximately 15,483 linear feet of water main, 23 fire hydrants and 254 water services.  </t>
  </si>
  <si>
    <t xml:space="preserve">Local support of City Council and residents. </t>
  </si>
  <si>
    <t xml:space="preserve">The project will provide job creation for both consultant and construction industry.  Also, provide a closed system for increased fire flow pressure and replacing a potential leaking system.  </t>
  </si>
  <si>
    <t>Water Distribution Rehabilitation FY22/23</t>
  </si>
  <si>
    <t>The proposed project would replace old and deteriorated water pipelines and fire hydrants that provide inadequate fire flow and water pressure.  Repair or replace various sized water valves.  Replace water laterals that have a history of leaking.  The Project includes replacement of approximately 14,132 linear feet of water main, 19 fire hydrants and 140 water services.</t>
  </si>
  <si>
    <t>Lakeview Farms</t>
  </si>
  <si>
    <t xml:space="preserve">The project includes grading a 150 acre volumetric storage basin along with the installation of weir structures and piping that would allow the City to channel waters of Racoon Creek into the storage basin during heavy rain events and then pump the water out after the storm event has passed. </t>
  </si>
  <si>
    <t>Impact Fees</t>
  </si>
  <si>
    <t xml:space="preserve">The project can commence final design and construction upon permitting approval.  </t>
  </si>
  <si>
    <t>Local support of City Council.</t>
  </si>
  <si>
    <t xml:space="preserve">The project would provide flood control/protection of downstream properties.  </t>
  </si>
  <si>
    <t>WWTRF Expansion Phase 1</t>
  </si>
  <si>
    <t xml:space="preserve">Expand WWTRF capacity by 1.2mgd with addition of Oxidation Ditch and related components. Next expansion will include addition of a Clarifier and related components for additional 0.9mgd of capacity. WWTRF is nearing facility capacity and additional capacity is needed to facilitate future development. Currently the City has 29,120 EDUs obligated with only 28,000 EDU plant capacity.  The obligated EDUs are a mix of existing City and County connections, pre-paid developer and County connections and County reserved connections.  The addition of the oxidation ditch will provide for an additional 6,046 EDUs with the Phase 1 expansion project. </t>
  </si>
  <si>
    <t>Bond Financing and Connection Fees</t>
  </si>
  <si>
    <t xml:space="preserve">The project will provide job creation for both consultant and construction industry. Also, compliance with NPDES permit.  </t>
  </si>
  <si>
    <t>WWTRF Oxidation Ditch &amp; Pond Liner</t>
  </si>
  <si>
    <t>Oxidation Ditches No. 1 and 2 were constructed in 2003 and include six aerator rotors that provide the oxygen necessary to break down the organic matter in the wastewater. The existing rotor systems are not efficient compared to new technologies and are reaching the end of their expected life. As such, the ditches need to be retrofitted from surface aeration to a diffused air system with coupled blowers, similar to the equipment in Ox. Ditch No. 3. Diffused air systems are significantly more energy efficient and require less ongoing maintenance than the existing rotor system. Additionally, Maturation Pond No. 1 is unlined and experiences bank erosion during storm and high wind events, causing turbidity spikes in the pond. To ensure compliance with the discharge permit, the elevated turbidity requires an extensive amount of work to get back within allowable thresholds. In order to mitigate the erosion of the pond and to maintain the necessary water quality Maturation Pond No. 1 needs to be lined.</t>
  </si>
  <si>
    <t>Utility Rates</t>
  </si>
  <si>
    <t xml:space="preserve">The project will provide job creation for both consultant and construction industry.  Also, provide a reliable barrier to protect from erosion.  </t>
  </si>
  <si>
    <t>Q St Sewer Lift Station Rehab</t>
  </si>
  <si>
    <t>The existing lift station needs a new wet well, discharge vault and panel.  Also the lift station needs to be integrated with SCADA which would include the addition of a PLC and transducer.  The control panel for the existing Q Street sanitary sewer lift station is not protected by a fence or barrier. As a result, the panel has been subjected to vandalism, such as graffiti, which requires regular maintenance. Additionally, the location and lack of protection makes the control panel vulnerable to vehicular damage, which could potentially take the pump station offline and require immediate emergency action.  This project would construct a secure enclosure for the lift station control panel and install additional bollards to protect the panel.</t>
  </si>
  <si>
    <t>Local support of City Council and residents.</t>
  </si>
  <si>
    <t>Sewer Rehab - Various hot spots in town</t>
  </si>
  <si>
    <t>CCTV Wastewater Collection System</t>
  </si>
  <si>
    <t>A baseline assessment of the entire collection system is necessary to efficiently plan, prioritize and maintain.  The project would begin with televising the oldest part of town giving valuable budgeting information for type of replacement and number of laterals.  The project would televise approximately 200 miles to give a complete picture of the current system.  All of the data would be provided in a GIS base software system that would be used to set up maintenance and repair/replacement schedules.  Maintaining the system would extend the useful life in some instances.</t>
  </si>
  <si>
    <t>N/A</t>
  </si>
  <si>
    <t xml:space="preserve">The project will provide job creation for both consultant and construction industry. Assist with the prioritization of rehabilitation of sewer infrastructure.   </t>
  </si>
  <si>
    <t>East Joiner Parkway I/I Improvements</t>
  </si>
  <si>
    <t xml:space="preserve">The East Joiner Parkway lift station is set in a low area around Orchard Creek and sewers in this area are below the groundwater elevation throughout the year in the vicinity of the lift station and part of the year in other areas of the creek.  Also, flow monitoring data collected with the Wastewater Master Plan identified a significant amount of infiltration into he base (non-rain) flow.  This project proposes to rehabilitate the sewers and manholes in this low-lying area to pro-actively reduce infiltration.  </t>
  </si>
  <si>
    <t>Ph 2 Reclamation Cont - Machado &amp; Singer</t>
  </si>
  <si>
    <t>Design has been completed for all three parks and is ready to be constructed however the cost has increased and will need additional funds to proceed.  The recycled water pipeline and related appurtenances within Joiner Park Parking lot are being constructed Spring 2019.  This project would include the Installation of (1) approximately 510 LF of 6" reclaimed water main on Groveland Lane to serve Pete Singer Park irrigation, (2)  approximately 500 LF of 4" reclaimed water main on Downing Circle to serve Machado Park irrigation, (3)approximately 1,400 LF of 8" reclaimed water main on Nicolaus Road.   By irrigating these three parks with reclaimed water, the City will offset approximately 12 million gallons of domestic water use each year. This reduction assists in meeting the City's water reduction goals mandated by the State.</t>
  </si>
  <si>
    <t xml:space="preserve">The project can commence final design, procure bids and award  construction contract.  </t>
  </si>
  <si>
    <t xml:space="preserve">SCADA Wastewater </t>
  </si>
  <si>
    <t xml:space="preserve">The project can commence consultant procurement for SCADA programming development and deployment.  </t>
  </si>
  <si>
    <t xml:space="preserve">The project will provide job creation for both consultant and construction industry. Assist with the monitoring of sewer infrastructure.   </t>
  </si>
  <si>
    <t>High School  Sewer</t>
  </si>
  <si>
    <t>Sewer main rehabilitation; approximately 800 LF of CIPP lining and 3000 LF of remove and replace sewer main.</t>
  </si>
  <si>
    <t xml:space="preserve">The project is ready to go out to bid and subsequently award construction contract.  </t>
  </si>
  <si>
    <t>Regional San (in collaboration with City of Sacramento)</t>
  </si>
  <si>
    <t xml:space="preserve">Expansion of Recycled Water Projects in the City of Sacramento </t>
  </si>
  <si>
    <t xml:space="preserve">Regional San to continue to expand recycled water opportunities with SCWA and City of Sacramento through the SPA CoGen project and expansion of conveyance. The non-potable water supply would increase conjunctive use and provide up to 1,700 AFY of recycled water for irrigation of urban landscapes, parks and golf courses.  </t>
  </si>
  <si>
    <t>365 days</t>
  </si>
  <si>
    <t>Final design activities will commence.</t>
  </si>
  <si>
    <t>Local support from Regional San Board, City Council, Schools, Parks, Golf Courses</t>
  </si>
  <si>
    <t>The Program increases  water supply reliability through recycled water delivery and  conjunctive use.</t>
  </si>
  <si>
    <t>Program has completed Feasibility Study and has completed Programmatic EIR under CEQA. The Program has been authorized by USBR and Congress under WIIN Act.</t>
  </si>
  <si>
    <t>Terrie Mitchell, Manager of Legislative &amp; Regulatory Affairs 916-876-6092 mitchellt@sacsewer.com</t>
  </si>
  <si>
    <t>Regional San</t>
  </si>
  <si>
    <t>South County Ag Water Recycling &amp; Conjunctive Use Program</t>
  </si>
  <si>
    <t>The South County Ag Program will provide up to 50,000 AFY of recycled water for agricultural irrigation, groundwater storage, conjunctive use and ecosystem enhancements.</t>
  </si>
  <si>
    <t>rate and fees - approximately $50 million</t>
  </si>
  <si>
    <t>Awarded $4.2 million from USBR through Title XVI</t>
  </si>
  <si>
    <t>California Water Commission WSIP awarded $280.5 million</t>
  </si>
  <si>
    <t>Yes - CEQA   No - NEPA</t>
  </si>
  <si>
    <t>NEPA - 2022</t>
  </si>
  <si>
    <t>Begin Basis of Design</t>
  </si>
  <si>
    <t>Broad support from state &amp; federal agencies, elected officials, farmers, local water purveyors, Farm Bureau, NGOs.</t>
  </si>
  <si>
    <t>The Program increases  water supply reliability through increased groundwater storage and conjunctive use, while also  providing ecosystem enhancements and climate resilience.</t>
  </si>
  <si>
    <t xml:space="preserve">Project design is underway and will provide immediate economic stimulus. 
 </t>
  </si>
  <si>
    <t>PCWA</t>
  </si>
  <si>
    <t>Ophir Water Treatment Plant</t>
  </si>
  <si>
    <t>Construction of a water treatment plant to serve the west Placer County region, including four cities and unincorporated areas of the county.</t>
  </si>
  <si>
    <t>Bidding of project and award of construction contract.</t>
  </si>
  <si>
    <t>Cities of Roseville and Lincoln and Nevada Irrigation District.</t>
  </si>
  <si>
    <t>This project relieves reliance on Folsom Reservoir when levels drop in dry years.</t>
  </si>
  <si>
    <t>This project is ready to commence, but needs funding.  It will create many jobs based upon size and diversity of construction trades and  materials used.</t>
  </si>
  <si>
    <t>Brent Smith, Director of Technical Services, (530) 823-4848, bsmith@pcwa.net</t>
  </si>
  <si>
    <t>Colfax Water Treatment Plant</t>
  </si>
  <si>
    <t>Construction of a water treatment plant to serve the Town of Colfax and surrounding foothill communities within Placer County.</t>
  </si>
  <si>
    <t>Six months/preliminary.</t>
  </si>
  <si>
    <t>Design and environmental work.</t>
  </si>
  <si>
    <t>City of Colfax, Weimar Water Company, Midway Heights Community Water District, surrounding unserved residential properties, and other water systems wishing to consolidate.</t>
  </si>
  <si>
    <t>The project will provide for consolidations of small water systems and will serve disadvantaged communities.</t>
  </si>
  <si>
    <t>Dutch Flat Mutual Water Company Consolidation</t>
  </si>
  <si>
    <t>State grant.</t>
  </si>
  <si>
    <t>SRF</t>
  </si>
  <si>
    <t>The community of Dutch Flat.</t>
  </si>
  <si>
    <t>The project will provide for consolidation of a severely disadvantaged community.</t>
  </si>
  <si>
    <t>Penryn to Roseville Conveyance Pipeline</t>
  </si>
  <si>
    <t>Pipeline in Penryn Road, King Road, and Barton Road to serve the east Loomis basin and support a new interconnection with the City of Roseville.  Also includes connection to the City of Roseville's Halverson Tank (by Roseville).</t>
  </si>
  <si>
    <t>The project will provide service to residential properties that do not have access to treated drinking water.  This project relieves reliance on Folsom Reservoir when levels drop in dry years.</t>
  </si>
  <si>
    <t>Five Star Metering Station Improvements (Roseville)</t>
  </si>
  <si>
    <t>Exempt.</t>
  </si>
  <si>
    <t>Design and bidding of construction.</t>
  </si>
  <si>
    <t>City of Roseville.</t>
  </si>
  <si>
    <t>Industrial Road Pipeline</t>
  </si>
  <si>
    <t>Pipeline from Whitney Ranch Boulevard interchange with Highway 65 to Industrial Boulevard to serve west Placer County and additional capacity to the City of Roseville via an existing interconnection.</t>
  </si>
  <si>
    <t>California American Water Company and City of Roseville..</t>
  </si>
  <si>
    <t>CHWD</t>
  </si>
  <si>
    <t>Highland Avenue Groundwater Production Well</t>
  </si>
  <si>
    <t xml:space="preserve">This project includes the construction of a well and pump station. </t>
  </si>
  <si>
    <t>Engineering and Design will begin</t>
  </si>
  <si>
    <t xml:space="preserve">State and Regional support.  </t>
  </si>
  <si>
    <t>This project is ready to commence and will provide both immediate economic stimulus and will create jobs. Additionally it provides drought support to Folsom lake for conjunctive use efforts.</t>
  </si>
  <si>
    <t>David Gordon, Director of Operations, 916-730-8452, dgordon@chwd.org</t>
  </si>
  <si>
    <t>Ella Way Groundwater Production Well</t>
  </si>
  <si>
    <t>Purchase</t>
  </si>
  <si>
    <t xml:space="preserve">Regional and City of Citrus Heights support.  </t>
  </si>
  <si>
    <t>This project will provide both immediate economic stimulus and will create jobs. Additionally it provides drought support to Folsom lake for conjunctive use efforts.</t>
  </si>
  <si>
    <t>Sunrise Blvd Storage Tank and upgrades to the existing Groundwater Production Well</t>
  </si>
  <si>
    <t>This project includes the construction of a 5 million gallon water storage tank and reconstruction of an existing groundwater well pump station.</t>
  </si>
  <si>
    <t>no</t>
  </si>
  <si>
    <t>Purchase of additional property</t>
  </si>
  <si>
    <t>Greenback Ln Storage Tank and Groundwater Production Well</t>
  </si>
  <si>
    <t>This project includes the construction of a 5 million gallon water storage tank and a groundwater well pump station.</t>
  </si>
  <si>
    <t>360 days</t>
  </si>
  <si>
    <t>Purchase of property</t>
  </si>
  <si>
    <t xml:space="preserve">Regional and Sacramento County Support. </t>
  </si>
  <si>
    <t xml:space="preserve">Security </t>
  </si>
  <si>
    <t>The proposed project will increase the security at the District's 6 existing groundwater well locations.</t>
  </si>
  <si>
    <t xml:space="preserve">Construction will commence on security system installations. </t>
  </si>
  <si>
    <t>This project would provide immediate economic stimulus and would protect the District and Regional water supply.</t>
  </si>
  <si>
    <t>CHWD residential meter replacement/upgrade</t>
  </si>
  <si>
    <t xml:space="preserve">The proposed project will replace/upgrade the District's existing meters to smart meter technology. The average age of the District's 5/8" - 2" meters is 17 years.  </t>
  </si>
  <si>
    <t xml:space="preserve">Project Construction will have Begun </t>
  </si>
  <si>
    <t xml:space="preserve">This project is ready to commence and will provide both immediate economic stimulus and will create jobs. Additionally it will assist with water efficiency and water loss efforts. </t>
  </si>
  <si>
    <t>Regional Partners (TBD)</t>
  </si>
  <si>
    <t>Regional residential meter replacement/upgrade</t>
  </si>
  <si>
    <t xml:space="preserve">The proposed project will replace/upgrade the region's existing meters to smart meter technology and to utilize shared infrastructure for a more cost efficient regional meter asset management program.  </t>
  </si>
  <si>
    <t>Regional Meter Program Study is already underway for the Project</t>
  </si>
  <si>
    <t>This project is ready to commence and will provide both immediate economic stimulus and will create jobs. Additionally it will assist with water efficiency and water loss efforts. This project also promotes regional collaboration.</t>
  </si>
  <si>
    <t>RWA</t>
  </si>
  <si>
    <t>Mobile Large Meter Test Bench</t>
  </si>
  <si>
    <t>The proposed project will purchase a Mobile Large Meter Test Bench for regional use</t>
  </si>
  <si>
    <t>Participant Fees/Connection Fees</t>
  </si>
  <si>
    <t>Purchase will have been made</t>
  </si>
  <si>
    <t xml:space="preserve">Regional support </t>
  </si>
  <si>
    <t>42" Transmission Main Creek Crossing Replacement Project</t>
  </si>
  <si>
    <t xml:space="preserve">This project would replace and relocate a large transmission main (42") from within the flow-line of Linda Creek in Sacramento County. The current main location poses a risk to the Citrus Heights Water District's water quality and delivery to customers. In the event of a water main break, severe damage could be done to the environment within Linda Creek and the area surrounding it.
 </t>
  </si>
  <si>
    <t>Design will be complete</t>
  </si>
  <si>
    <t>Regional Reliability Support, Sacramento County and Fish &amp; Wildlife support</t>
  </si>
  <si>
    <t>This project is ready to commence and will provide both immediate economic stimulus and will create jobs. Additionally it provides water reliability and redundancy to the District and the neighboring water agencies.</t>
  </si>
  <si>
    <t>Operations and Shop Building Remodel</t>
  </si>
  <si>
    <t xml:space="preserve">This project will be a remodel of the District's Operations and Shop Buildings. The remodel would assist the District in managing the improvements of and reinvestment into the District's infrastructure in a more cost and energy efficient manner for the next 50 years. </t>
  </si>
  <si>
    <t>Environmental and Project Design will be underway</t>
  </si>
  <si>
    <t>This project  will provide both immediate economic stimulus and will create jobs. Additionally it supports the replacement and reinvestment into the District's infrastructure and facilities.</t>
  </si>
  <si>
    <t>18" Transmission Main Replacement - Old Auburn Rd</t>
  </si>
  <si>
    <t>This project will replace a section of a 70-year-old 18" Water Main along Old Auburn Road.</t>
  </si>
  <si>
    <t>Design will be complete and Project would be out to Bid</t>
  </si>
  <si>
    <t>Whyte Ave. and Langley Ave Water Main Project</t>
  </si>
  <si>
    <t xml:space="preserve">This project will replace approximately 2,000 feet of water main and 40 water services. </t>
  </si>
  <si>
    <t>Construction would have started</t>
  </si>
  <si>
    <t xml:space="preserve">This project is ready to commence and will provide both immediate economic stimulus and will create jobs. </t>
  </si>
  <si>
    <t>Fair Oaks Blvd Water Main Project</t>
  </si>
  <si>
    <t>This project includes the installation of approximately 1,000 feet of 12" water main to connect two 12" water main dead end mains.</t>
  </si>
  <si>
    <t>Server and IT office remodel</t>
  </si>
  <si>
    <t xml:space="preserve">This project will relocate the District's server room and Information Technology office. It will include upgrades to the server and District software/hardware as required. </t>
  </si>
  <si>
    <t>Rehabilitation of Sylvan Groundwater Production Well</t>
  </si>
  <si>
    <t xml:space="preserve">This project will rehabilitate the District's existing Sylvan groundwater production well as necessary in order to optimize production.  </t>
  </si>
  <si>
    <t>Regional Reliability Support</t>
  </si>
  <si>
    <t>County of El Dorado, South Tahoe Public Utility District</t>
  </si>
  <si>
    <t>San Bernardino Class 1 Bike Trail &amp; Waterline Replacement</t>
  </si>
  <si>
    <t>The proposed project aims to construct a Class 1 pathway over the Upper Truckee River with an opportunity to include construction of a new waterline as part of  the proposed pedestrian bridge crossing to replace an existing waterline previously compromised by the river flow dynamics.  The new waterline will serve existing and future demands of the community of Meyers in South Lake Tahoe, in the Tahoe Basin.</t>
  </si>
  <si>
    <t>rate revenue</t>
  </si>
  <si>
    <t>Ongoing, anticipated completion of June 2020.</t>
  </si>
  <si>
    <t>If fully funded the County will move forward with review and approval of plans and contract specifications for public bidding.  Once awarded, the County will move forward with scheduling the project for construction.</t>
  </si>
  <si>
    <t>Local support of Meyers Area Plan, US Forest Service, Tahoe Paradise Recreation and Park District, South Tahoe PUD</t>
  </si>
  <si>
    <t>When constructed, this project will provide immediate economic stimulus, create jobs, and fill the need for water supply in the event of wildfires.</t>
  </si>
  <si>
    <t>Ken Payne, GneralManager, EDCWA (530) 317-7638, ken.payne@edcgov.us</t>
  </si>
  <si>
    <t>County of El Dorado</t>
  </si>
  <si>
    <t>Fairgrounds Water Quality Improvement Project</t>
  </si>
  <si>
    <t>Under this project, water quality improvements and flood control will take place in the El Dorado County Fairgrounds. The water quality improvements that will be done will reduce the occurrence of erosion and reduce impacts from flooding. Under this project, technology can be incorporated to capture and reuse stormwater on site, treat impervious runoff, provide groundwater infiltration, include drainage ditch enhancements, reduce runoff, and prevent non-point source pollution. A rooftop rainwater capture system could be incorporated for non-potable water use on site. Near the roads, grass swales will be added for stormwater conveyance that will treat and filtrate runoff into the ground. Ditches will be added to divert stormwater runoff to the swales and grass filter stripes. The implementation of this project will provide an opportunity for public outreach and an opportunity to demonstrate to the public the technology that was used to treat, capture and reuse stormwater runoff. Low impact development (LID) approaches will be applied for this project.</t>
  </si>
  <si>
    <t>County General Fund</t>
  </si>
  <si>
    <t>Work will be completed under a Cat. Exempt as improvement to existing disturbed areas.</t>
  </si>
  <si>
    <t xml:space="preserve">Once funded, the County will move forward with a stakeholder group to complete the projects design and environmental clearance. </t>
  </si>
  <si>
    <t>Fairgrounds, City of Placerville, Caltrans</t>
  </si>
  <si>
    <t xml:space="preserve">When constructed, this project will provide immediate economic stimulus, create jobs, and address degraded water quality issues upstream of the Folsom Reservoir. Project area is utilized by DACs. </t>
  </si>
  <si>
    <t xml:space="preserve">Fairgrounds are used for many community events that create and stimulate jobs. </t>
  </si>
  <si>
    <t>Oflyng Water Quality Project</t>
  </si>
  <si>
    <t>The project has been initiated to address impacts from prior urban development which has resulted in a concentrated flow of storm water from private parcels, the County of El Dorado (County) rights-of-way (ROW), and publicly owned (United States Forest Service and State of California) parcels.  Current sources of storm water contamination within the project area include eroding shoulders, slopes, channels, and tracking of aggregate during winter sanding operations.</t>
  </si>
  <si>
    <t>Mitigation funds</t>
  </si>
  <si>
    <t>CEQA Complete, NEPA to be complete August 2020</t>
  </si>
  <si>
    <t>Local community support, US Forest Service, California Tahoe Conservancy, and South Tahoe Public Utility District</t>
  </si>
  <si>
    <t>When constructed, this project will provide immediate economic stimulus, create jobs, and address degraded water quality issues.</t>
  </si>
  <si>
    <t>Country Club Heights Erosion Control Project - Phase 3</t>
  </si>
  <si>
    <t xml:space="preserve">The project has been initiated to improve water quality, restore impacted Stream Environment Zone (SEZ) habitat and associated floodplain, and achieve recreation and natural resource objectives within the Country Club Heights Subdivision. The project has been designed to reduce impacts to water quality from previous development, enhance recreation and access opportunities, and provide for SEZ habitat restoration. </t>
  </si>
  <si>
    <t>y</t>
  </si>
  <si>
    <t>Carmichael Water District</t>
  </si>
  <si>
    <t>Grant Ave Main Line Project</t>
  </si>
  <si>
    <t xml:space="preserve">The proposed project will bring increased reliability, water quality and upgrade fire flow requirements. This mainline replacement project will also benefit regional water supply reliability and transfers. </t>
  </si>
  <si>
    <t>Rate Revenue and Connection Fees</t>
  </si>
  <si>
    <t>Replacement - CEQA Exempt</t>
  </si>
  <si>
    <t>Construction will commence installing water pipeline.</t>
  </si>
  <si>
    <t>Local residents and regional water partners</t>
  </si>
  <si>
    <t>This project will stimulate the local economy and create jobs.</t>
  </si>
  <si>
    <t>Scott Bair, Field Superintendent, 916-483-2452, scottb@carmichaelwd.org</t>
  </si>
  <si>
    <t>San Juan Ave Main Line Project</t>
  </si>
  <si>
    <t>Claremont Main Line Project</t>
  </si>
  <si>
    <t xml:space="preserve">CWD to replace current electrical transfer gear to achieve reliable back-up power at the Bajamont Water Treatment. </t>
  </si>
  <si>
    <t>Mark McClintock, Production Superintendent, 916-483-2452, mark@carmichaelwd.org</t>
  </si>
  <si>
    <t>Groundwater Reliability Study</t>
  </si>
  <si>
    <t xml:space="preserve">The proposed project is to assess existing groundwater supplies and evaluate future needs for well rehabilitation, replacement, or addition of new wells.  </t>
  </si>
  <si>
    <t>Study - no CEQA necessary</t>
  </si>
  <si>
    <t>Assess existing groundwater sources reliability and evaluate future needs</t>
  </si>
  <si>
    <t>Alternative water supply to address climate change and effects</t>
  </si>
  <si>
    <t>Cathy Lee, General Manager, 916-483-2452, cathy@carmichaelwd.org</t>
  </si>
  <si>
    <t>Groundwater Well Rehabilitation</t>
  </si>
  <si>
    <t>CWD to rehab 2 existing active wells to improve groundwater reliability.</t>
  </si>
  <si>
    <t>TBD</t>
  </si>
  <si>
    <t>Rehabilitate existing groundwater sources</t>
  </si>
  <si>
    <t>New groundwater well installation</t>
  </si>
  <si>
    <t>Construct new groundwater well and related appurtenances</t>
  </si>
  <si>
    <t>Collector 4 rehabilitation</t>
  </si>
  <si>
    <t>Rehabilitation of existing inactive raw water collector.</t>
  </si>
  <si>
    <t>Design basis</t>
  </si>
  <si>
    <t>Intertie with Sacramento Suburban Water District</t>
  </si>
  <si>
    <t>Install 2-way meters and telemetry at interties between CWD and SSWD</t>
  </si>
  <si>
    <t>California American Water</t>
  </si>
  <si>
    <t>Fruitridge Backyard Mains</t>
  </si>
  <si>
    <t>The proposed project is to relocate water mains from the backyards to the front of the property.  As part of this project, saddles will be placed on the new mains and water meters and service lines will be installed at the front of the properties.</t>
  </si>
  <si>
    <t>Categorically Exempt</t>
  </si>
  <si>
    <t>Construction will commence on the pipelines in the streets.</t>
  </si>
  <si>
    <t>Local support by the County, Local Groundwater Authority, and State support by the Division of Drinking Water and PUC (assumed at this point, will request from each entity if necessary)</t>
  </si>
  <si>
    <t>This project is ready to commence and will provide an immediate economic stimulus to the local skilled and unskilled work force, that live in the disadvantaged community.  Metering will enable the residents to have a been understanding of their water use and the associated costs and the benefits of water conservation thereby helping the region meet its conservation goals.  This project will significantly decrease the amount of lost water and it associated energy and environmental impacts.  Wages paid will benefit State and Local Governments.</t>
  </si>
  <si>
    <t xml:space="preserve">This project will have a significant longer term impact on the local and regional economy.  In addition, the project will greatly improve the resiliency  of the local water system and assist the system operator in the efficient operation of the system and provide for better management of water use in conformance with State water conservation objectives. </t>
  </si>
  <si>
    <t>Walter Sadler, Manager Project Delivery,            916-568-4213, walter.sadler@amwater.com</t>
  </si>
  <si>
    <t xml:space="preserve">California American Water </t>
  </si>
  <si>
    <t>Fruitridge Metering</t>
  </si>
  <si>
    <t>The proposed project is for the installation of meters and service lines for properties that front on existing water mains in the street.</t>
  </si>
  <si>
    <t>Meters, meter boxes, service lines and appurtenances can be purchased and construction started.</t>
  </si>
  <si>
    <t>Local support by the County, Local Groundwater Authority, State support by the Division of Drinking Water and PUC</t>
  </si>
  <si>
    <t>This project is ready to commence and will provide immediate and long term economic stimulus to the local skilled and unskilled work force that live in the disadvantaged community.  Metering will enable the residents to have a been understanding of their water use and the associated costs and the benefits of water conservation thereby helping the region meet its conservation goals.</t>
  </si>
  <si>
    <t xml:space="preserve">This project will have a significant impact on the local and regional economy.  In addition, the project will greatly improve the resiliency  of this water system and provide for better management of water use in conformance with State water conservation objectives.   </t>
  </si>
  <si>
    <t>Walter Sadler, Manager Project Delivery,           916-568-4213, walter.sadler@amwater.com</t>
  </si>
  <si>
    <t>City of Sacramento</t>
  </si>
  <si>
    <t>Shasta Well Improvements</t>
  </si>
  <si>
    <t>development fees and rate revenue</t>
  </si>
  <si>
    <t>Design build contract can be executed.</t>
  </si>
  <si>
    <t>Local support</t>
  </si>
  <si>
    <t>Need to research</t>
  </si>
  <si>
    <t xml:space="preserve">Benefits the regional groundwater bank. </t>
  </si>
  <si>
    <t>Supports the City's conjunctive use program and the regional water bank efforts</t>
  </si>
  <si>
    <t>Michelle Carrey, Supervising Engineer, 916.808.1438, mcarrey@cityofsacramento.org</t>
  </si>
  <si>
    <t>Well Upgrades</t>
  </si>
  <si>
    <t>Pump and motor replacements, sampling for Water Quality (PFAS), and well repair. City procurement of equipment, contractor installation.</t>
  </si>
  <si>
    <t>Contract for equipment procurement will be underway.</t>
  </si>
  <si>
    <t>Wells requiring repairs are located in disadvantaged communities, well upgrades benefit the regional groundwater bank.</t>
  </si>
  <si>
    <t>Material Purchases for Water Treatment Plants - Manufacturing Project</t>
  </si>
  <si>
    <t>Material purchases for installation at Water Division facilities: Fire Hydrants, Gate Valves, Chain and Flight System materials, Grit Basin Collector System Replacement parts, Large Chlorinators, MOV Actuators, Filters - seat/valve replacements, Coagulation - online zestasizers, etc.</t>
  </si>
  <si>
    <t xml:space="preserve">Bidding and procurement of materials </t>
  </si>
  <si>
    <t>Maintaining water supply by avoiding long lead times on critical items needed to keep the water treatment plants operational</t>
  </si>
  <si>
    <t>Stimulus benefit is realized by manufacturers as this is mostly a material purchase effort. Maintains the reliability of water treatment facilities</t>
  </si>
  <si>
    <t>Florin Pump Redundancy Project</t>
  </si>
  <si>
    <t>The redundancy project provides an additional set of pumps &amp; motors to support the aged engines and pumps on a critical facility that helps maintain water pressure within the drinking water distribution system.  The additional pumps would be using electrical means of power, unlike the natural gas engines, which provides a level of resilience to the facility.  In addition, the facility would incorporate needed electrical upgrades to meet current standards.</t>
  </si>
  <si>
    <t>100% Design</t>
  </si>
  <si>
    <t>Resiliency and reliability of a key facility in the water distribution system</t>
  </si>
  <si>
    <t>Reliability of water distribution facilities</t>
  </si>
  <si>
    <t>Freeport Reservoir Improvements</t>
  </si>
  <si>
    <t xml:space="preserve">Facility improvements- buildout of both pumps and associated electrical </t>
  </si>
  <si>
    <t xml:space="preserve">Improved water quality and distribution system operation in addition to providing a safer, easier means for staff to maintain the reservoir.   </t>
  </si>
  <si>
    <t>Freeport Blvd. Water Transmission Main Replacement project</t>
  </si>
  <si>
    <t>The City identified a +80-year old, 10,300 linear foot (LF), 24-inch diameter welded steel water transmission main that runs between Sacramento City College and Broadway and along 19th St from Broadway to Q St. as of critical importance for replacement. The transmission main is in poor condition and is leaking at several locations.</t>
  </si>
  <si>
    <t>100% Design, Out to bid</t>
  </si>
  <si>
    <t>Improve reliability in water system operation. Mitigate catastrophic failure adjacent to UPRR tracks and maintain water supply to the core of downtown Sacramento.</t>
  </si>
  <si>
    <t>Fairbairn Water Treatment Plant Substation replacement</t>
  </si>
  <si>
    <t>This project proposes to replace the existing 5KV substation at the Fairbairn Water Treatment Plant (FWTP) to improve the reliability of the electrical equipment feeding the plant.  In addition, add a second emergency generator to increase the amount of power available during a SMUD power outage.</t>
  </si>
  <si>
    <t xml:space="preserve">Maintaining existing treatment plant reliability and staff safety </t>
  </si>
  <si>
    <t>Reliability of water supply facilities</t>
  </si>
  <si>
    <t>Dave Hansen, Supervising Engineer, 916.808.1421, dhansen@cityofsacramento.org</t>
  </si>
  <si>
    <t>San Juan Water District</t>
  </si>
  <si>
    <t>Hinkle Reservoir Cover and Liner Replacement Project</t>
  </si>
  <si>
    <t>Begin construction in July 2021, construction complete in April 2022.</t>
  </si>
  <si>
    <t>Water Treatment Plant (WTP) Filter Basins Rehab Project - South Filter Basin</t>
  </si>
  <si>
    <t>Project includes the rehabilitation of the District's Sidney N. Peterson Water Treatment Plant South Filter Basin including coating the filter cells with an elastomeric liner, installing new filter nozzles, and replacing all filter media.</t>
  </si>
  <si>
    <t>Begin construction in November 2020, construction complete in April 2021.</t>
  </si>
  <si>
    <t>Water Treatment Plant (WTP) Residual Area Stormwater Lift Station</t>
  </si>
  <si>
    <t>Project includes construction of a stormwater lift station at the District's Sidney N. Peterson Water Treatment Plant including site grading, construction of a rock lined v-ditch, and piping and electrical improvements.</t>
  </si>
  <si>
    <t>Begin construction in August 2020, construction complete in December 2020.</t>
  </si>
  <si>
    <t>Bacon and Upper Granite Bay Booster Pump Stations (BPS) Generator Replacements</t>
  </si>
  <si>
    <t>Project includes the replacement of the existing backup generators at both the Bacon and Upper Granite Bay Booster Pump Stations including electrical improvements.</t>
  </si>
  <si>
    <t>Begin construction in January 2021, construction complete in October 2021.</t>
  </si>
  <si>
    <t>2020-21 Water Mains and Services Replacement Project</t>
  </si>
  <si>
    <t>Project includes the replacement of old, failing pipelines and installation of new water mains and services in the District's Retail Service Area in both Placer and Sacramento Counties.  Project locations include Cavitt Stallman Road, Spahn Ranch Road, Auburn Folsom Road, Margo Lane, and Woodminster Drive.</t>
  </si>
  <si>
    <t>Begin construction in July 2020, construction complete in December 2021.</t>
  </si>
  <si>
    <t>Sacramento Suburban Water District</t>
  </si>
  <si>
    <t>Well 78</t>
  </si>
  <si>
    <t>New groundwater production well pump station.</t>
  </si>
  <si>
    <t>Fees and/or Revenue</t>
  </si>
  <si>
    <t>Q3 2020</t>
  </si>
  <si>
    <t>Q2 2021</t>
  </si>
  <si>
    <t>Construction start.</t>
  </si>
  <si>
    <t>2 MGD water supply.</t>
  </si>
  <si>
    <t>Dana Dean, Engineering Manager, 916-679-3991, ddean@sswd.org</t>
  </si>
  <si>
    <t>SSWD / CoS Intertie project</t>
  </si>
  <si>
    <t xml:space="preserve">Improve / install 10 MGD intertie and booster station between City of Sacramento / SSWD South Service Area to improve conjunctive use capability.  
Project under re-evaluation by partners.
</t>
  </si>
  <si>
    <t>SSWD:  Fees and/or Revenue;
CoS:  TBD</t>
  </si>
  <si>
    <t>30% Design.</t>
  </si>
  <si>
    <t>ASR Retrofit-Well project</t>
  </si>
  <si>
    <t>Employ ASR in SSWD's service area (by retrofitting 1 existing well) to enhance conjunctive use and dry-year protection.  
Project under evaluation.</t>
  </si>
  <si>
    <t>Q4 2021</t>
  </si>
  <si>
    <t>Q1 2022</t>
  </si>
  <si>
    <t>Design and Bid.</t>
  </si>
  <si>
    <t>0.5 to 1 MGD capacity.</t>
  </si>
  <si>
    <t>Pressure Reduction Energy Generation project</t>
  </si>
  <si>
    <t>CHWD and/or SSWD to partner with SMUD for energy generation through pressure reduction project that would help increase ability to share supplies.  
Project under re-evaluation by partners.</t>
  </si>
  <si>
    <t>60% Design.</t>
  </si>
  <si>
    <t>Possible collaboration with Sacramento Municipal Utility District (SMUD) and Carmichael Water District (CWD).
Land acquisition likely necessary.</t>
  </si>
  <si>
    <t>CHWD Interconnections with neighboring agencies -Upgrades and Installations</t>
  </si>
  <si>
    <t xml:space="preserve">This project includes upgrades to 14 existing interconnections and the installation of 4 new interconnections with the District's neighboring agencies. </t>
  </si>
  <si>
    <t>Design will be complete and the Project would be in construction</t>
  </si>
  <si>
    <t>This project is ready to commence and will provide both immediate economic stimulus and create jobs. Additionally it provides water reliability and redundancy to the District and the neighboring water agencies.</t>
  </si>
  <si>
    <t>This project is ready to commence and will provide both immediate economic stimulus and create jobs. Additionally it provides drought support to Folsom Lake for conjunctive use efforts.</t>
  </si>
  <si>
    <t>Project will replace approximately 55,200 linear feet of aging water distribution mains and construct  new cross connections in distribution Lines.  These pipelines and associated hydrants and facilities have been identified for replacement due to flow capacity limitations, maintenance history and age.    Included in this project is the resurfacing and rehabilitation roadways. Approximate cost for road rehab and resurfacing totals $8.2 million.</t>
  </si>
  <si>
    <t xml:space="preserve">The project is already out to bid and can begin construction within the first 100 days.  </t>
  </si>
  <si>
    <t>Design and environmental studies</t>
  </si>
  <si>
    <t>Maintain water supply reliability, drought resiliency, Increase hydroelectric generation, reduce pumping</t>
  </si>
  <si>
    <t xml:space="preserve">Chestnut Well rehabilitation </t>
  </si>
  <si>
    <t>The proposed project is to rehabilitate the Chestnut Well so we will have access to ground water when there is a shortage of surface water.</t>
  </si>
  <si>
    <t>The EDHWWTP WAS DAFT Project will rehabilitate all structural components and replace all mechanical and electrical components associated with the existing waste-activated sludge, dissolved air floatation thickening unit (WAS DAFT) at the El Dorado Hills Wastewater Treatment Plant.  The WAS DAFT is a critical component of the solids treatment train by reducing the water content in the sludge thus reducing the volume of solids to be stabilized in the anaerobic digester.</t>
  </si>
  <si>
    <t>The Collection System PLC Upgrade project will replace the master PLC which collects radio communication from 60 wastewater lift station sites to incorporate into the District's SCADA system.</t>
  </si>
  <si>
    <t>The District currently maintains sixty wastewater lift stations.  The age, condition, and capacity of each station varies significantly. This project will provide rehabilitation measures and equipment replacement at nine lift stations. Improvements include pump replacement, instrumentation upgrades, wetwell lining, site paving, and misc. improvements.</t>
  </si>
  <si>
    <t>Construction will commence on at least one of the nine lift stations as outlined in the contractor's schedule.</t>
  </si>
  <si>
    <t xml:space="preserve">This project involves the new installation of approximately 6,600  lineal feet of 27-inch sewer line in Folsom Boulevard to minimize the risk of sanitary sewer overflows. </t>
  </si>
  <si>
    <t>The proposed project is to install advanced metering infrastructure (AMI) throughout the Elk Grove Water District's service area.  AMI provides automated smartmeter technology to support real-time meter reading, customer conservation efforts, leak detection and energy efficiency.</t>
  </si>
  <si>
    <t>AMI is supported by the State's Draft Resiliency Portfolio.  AMI drives greater efficiency of water use (Resiliency Portfolio Bullet 2) through conservation by providing customers with real-time data on water consumption.  AMI modernizes water data collection to inform real-time water management decisions and long-term planning (Resiliency Portfolio Bullet 22).</t>
  </si>
  <si>
    <t xml:space="preserve">The project will provide job creation for both consultant and construction industry.  Also, provide a looped system for fire flow pressure and redundancy in the system along with replacing a potential leaking system.  </t>
  </si>
  <si>
    <t xml:space="preserve">The project will provide job creation for both consultant and construction industry.  Also, provide a reliable pump station that will prevent overflows from occurring.  </t>
  </si>
  <si>
    <t xml:space="preserve"> Replace sewer pipe, manholes or other wastewater appurtenances that are problematic and are higher risk in causing a potential for a sanitary sewer overflow and/or installation of equipment to facilitate maintenance of the system.  The areas in need are: (1) Install interceptors on wash bays to prevent sand and grit from entering sewer system at the Corp Yard; (2)Install sewage dumping bay that is easily accessible for vactor truck even in scenarios such as: Inclement weather, little to no light, and outside of regular business hours; (3)Replace 6" sewer in alley near Kim's Kitchen between #J12169 and  #J12165; (4)replace 6” main approx. 385’ from #I12005 to #J12165; (5)replace 6” main approx. 434’ from #J12369 to #J12365 to  #J12361; (6) replace 6” main approx. 254’ from #J12153 to #J12145. Install/move manhole that is in resident’s backyard to the south of manhole #J12153. Establish right of way for 6” vcp sewer main that runs north through said resident’s backyard into manhole #J12153, or move main out of resident’s backyard; (7)3rd &amp; L St. 6” sewer main runs through storm drain D.I. approx. 24’ north of #J11265; (8)5th St. @ Countryside Ln. - 15” sewer main runs through storm drain manhole approx. 9’ west of  #J11001.</t>
  </si>
  <si>
    <t xml:space="preserve">The project will provide job creation for both consultant and construction industry.  Also, provide a reliable closed sewer system that will prevent overflows from occurring.  </t>
  </si>
  <si>
    <t xml:space="preserve">The project can commence consultant procurement for CCTV deployment into the field.  </t>
  </si>
  <si>
    <t xml:space="preserve">The project will provide job creation for both consultant and construction industry.  Also, provide a reliable closed sewer system that will prevent infiltration from occurring.  </t>
  </si>
  <si>
    <t xml:space="preserve">The project will provide job creation for both consultant and construction industry.  Also, provide a redundant water supply expanding the City's portfolio and resiliency to climate change.  </t>
  </si>
  <si>
    <t xml:space="preserve">This project would implement upgrades to existing SCADA controls or add new equipment to the lift stations that are lacking for monitoring of flows and equipment performance.  It will also standardize the electrical and communication equipment used so that all of the lift stations are using the same controls; which will benefit operations in having one cohesive system that will integrate and provide essential data all in the same format.  </t>
  </si>
  <si>
    <t>Consolidate the Dutch Flat Mutual Water Company's water system by replacing their end-of-life water distribution system, connecting to PCWA's adjacent Alta water system, and decommissioning their water treatment plant.  The community is categorized as severely disadvantaged.</t>
  </si>
  <si>
    <t>The City of Roseville and citizens in unincorporated Placer County who currently do not have access to treated drinking water.</t>
  </si>
  <si>
    <t>Add fluoride treatment and control system (SCADA) improvements at the Five Star Metering Station with the City of Roseville.</t>
  </si>
  <si>
    <t>When constructed, this project will provide immediate economic stimulus, create jobs, and provide enhanced recreational opportunities for local DACs.</t>
  </si>
  <si>
    <t>Bajamont Water Treatment Plant (BWTP) Electrical Transfer Gear Replacement</t>
  </si>
  <si>
    <t>Specify transfer gear equipment and commence construction.</t>
  </si>
  <si>
    <t>CWD to drill 1 additional well to replace aging wells and improve conjunctive use goals.</t>
  </si>
  <si>
    <t>Upgrades needed to operate the wells at the site simultaneously. Due to the presence of methane in 2nd well and filters are undersized for amount of manganese present in wells.</t>
  </si>
  <si>
    <t>Increase reliability of groundwater supply</t>
  </si>
  <si>
    <t>Increase reliability of water supply for two purveyors; 
increase conjunctive use capability.</t>
  </si>
  <si>
    <t>10 MGD capacity.
Land acquisition likely necessary.</t>
  </si>
  <si>
    <t>Increase reliability of electrical power supply regionally thru reduction in consumption locally.</t>
  </si>
  <si>
    <t>Project includes the replacement of the existing Hinkle Reservoir cover and liner (Hypalon) material, and replacement and/or rehabilitation of other ancillary facilities such as baffle walls, accessways, drainage components, and inlet and outlet structures and gates.</t>
  </si>
  <si>
    <t>Fairbairn Water Treatment Plant Groundwater Wells</t>
  </si>
  <si>
    <t xml:space="preserve">Construct two new groundwater wells onsite at the FWTP to replace aging City of Sacramento's wells, and to increase extraction capability for conjunctive use and emergencies. </t>
  </si>
  <si>
    <t>The design will be updated for a Design-Build project. The team will be on-board and getting ready to start construction.</t>
  </si>
  <si>
    <t>This project addresses ongoing maintenance problems and replaces approximately 5,000 lineal feet of sewer pipeline. The project includes rehabilitating the existing pipeline in the alleys on either side of Natoma Street between Stafford and Coloma Street</t>
  </si>
  <si>
    <t>Project’s latitude/longitude coordinates</t>
  </si>
  <si>
    <t>Water Mains Replacement - Comprehensive Project               (see separate tab for details)</t>
  </si>
  <si>
    <t>Lat. 38.404146 / Long. -121.361039</t>
  </si>
  <si>
    <t>-121.105395 / 38.886049</t>
  </si>
  <si>
    <t>-120.951785 / 39.10667</t>
  </si>
  <si>
    <t>-120.832571 / 39.190642</t>
  </si>
  <si>
    <t>-121.187202 / 38.804834</t>
  </si>
  <si>
    <t>-121.265813 / 38.781944</t>
  </si>
  <si>
    <t>-121.307081 / 38.831308</t>
  </si>
  <si>
    <r>
      <t>38</t>
    </r>
    <r>
      <rPr>
        <sz val="10"/>
        <color rgb="FF000000"/>
        <rFont val="Calibri"/>
        <family val="2"/>
      </rPr>
      <t>°79'21"N
121°37'01"W</t>
    </r>
  </si>
  <si>
    <t>38°43'53"N
121°18'58"W</t>
  </si>
  <si>
    <t>38°79'21"N
121°37'01"W</t>
  </si>
  <si>
    <t>38°41'12.4"N 121°09'03.4"W</t>
  </si>
  <si>
    <t>38°38'42.5"N 121°09'18.3"W</t>
  </si>
  <si>
    <t>38°41'32.2"N 121°07'19.5"W</t>
  </si>
  <si>
    <t>38°40'58.9"N 121°10'34.1"W</t>
  </si>
  <si>
    <t>38°42'12.4"N 121°10'54.6"W</t>
  </si>
  <si>
    <t>38°41'00.0"N 121°10'36.4"W</t>
  </si>
  <si>
    <t>38°40'42.4"N 121°10'07.7"W</t>
  </si>
  <si>
    <t>38°40'25.5"N 121°08'11.9"W</t>
  </si>
  <si>
    <t>38°39'32.9"N 121°10'58.9"W</t>
  </si>
  <si>
    <t>38.604N
121.388W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</si>
</sst>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yy;@"/>
    <numFmt numFmtId="167" formatCode="_(* #,##0_);_(* \(#,##0\);_(* &quot;-&quot;??_);_(@_)"/>
  </numFmts>
  <fonts count="17" x14ac:knownFonts="1">
    <font>
      <sz val="11"/>
      <color theme="1"/>
      <name val="Calibri"/>
      <family val="2"/>
      <scheme val="minor"/>
    </font>
    <font>
      <sz val="11"/>
      <name val="Calibri"/>
      <family val="2"/>
      <scheme val="minor"/>
    </font>
    <font>
      <sz val="11"/>
      <color theme="1"/>
      <name val="Calibri"/>
      <family val="2"/>
      <scheme val="minor"/>
    </font>
    <font>
      <sz val="10"/>
      <color rgb="FF000000"/>
      <name val="Calibri"/>
      <family val="2"/>
    </font>
    <font>
      <sz val="10"/>
      <color theme="1"/>
      <name val="Calibri"/>
      <family val="2"/>
      <scheme val="minor"/>
    </font>
    <font>
      <b/>
      <sz val="11"/>
      <color theme="0"/>
      <name val="Calibri"/>
      <family val="2"/>
      <scheme val="minor"/>
    </font>
    <font>
      <sz val="9"/>
      <color theme="1"/>
      <name val="Calibri"/>
      <family val="2"/>
      <scheme val="minor"/>
    </font>
    <font>
      <sz val="12"/>
      <color theme="1"/>
      <name val="Calibri"/>
      <family val="2"/>
      <scheme val="minor"/>
    </font>
    <font>
      <b/>
      <sz val="12"/>
      <color theme="0"/>
      <name val="Calibri"/>
      <family val="2"/>
      <scheme val="minor"/>
    </font>
    <font>
      <sz val="10"/>
      <name val="Arial"/>
      <family val="2"/>
    </font>
    <font>
      <b/>
      <sz val="11"/>
      <color theme="1"/>
      <name val="Calibri"/>
      <family val="2"/>
      <scheme val="minor"/>
    </font>
    <font>
      <b/>
      <sz val="10"/>
      <color theme="0"/>
      <name val="Calibri"/>
      <family val="2"/>
      <scheme val="minor"/>
    </font>
    <font>
      <sz val="10"/>
      <color rgb="FF000000"/>
      <name val="Calibri"/>
      <family val="2"/>
      <scheme val="minor"/>
    </font>
    <font>
      <sz val="10"/>
      <name val="Calibri"/>
      <family val="2"/>
      <scheme val="minor"/>
    </font>
    <font>
      <sz val="10"/>
      <color rgb="FF1D1D1D"/>
      <name val="Calibri"/>
      <family val="2"/>
      <scheme val="minor"/>
    </font>
    <font>
      <sz val="11"/>
      <color rgb="FF000000"/>
      <name val="Calibri"/>
      <family val="2"/>
      <scheme val="minor"/>
    </font>
    <font>
      <sz val="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79998168889431442"/>
        <bgColor rgb="FF000000"/>
      </patternFill>
    </fill>
    <fill>
      <patternFill patternType="solid">
        <fgColor rgb="FF212933"/>
        <bgColor indexed="64"/>
      </patternFill>
    </fill>
    <fill>
      <patternFill patternType="solid">
        <fgColor rgb="FFD6DCE4"/>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right style="thin">
        <color theme="0"/>
      </right>
      <top/>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9" fillId="0" borderId="0"/>
  </cellStyleXfs>
  <cellXfs count="289">
    <xf numFmtId="0" fontId="0" fillId="0" borderId="0" xfId="0"/>
    <xf numFmtId="0" fontId="1" fillId="0" borderId="0" xfId="0" applyFont="1" applyAlignment="1">
      <alignment horizontal="center" vertical="center"/>
    </xf>
    <xf numFmtId="0" fontId="4" fillId="2" borderId="4" xfId="0" applyFont="1" applyFill="1" applyBorder="1" applyAlignment="1">
      <alignment horizontal="left" vertical="center" wrapText="1"/>
    </xf>
    <xf numFmtId="43" fontId="4" fillId="2" borderId="4" xfId="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17" fontId="4" fillId="2" borderId="3" xfId="0" applyNumberFormat="1" applyFont="1" applyFill="1" applyBorder="1" applyAlignment="1">
      <alignment horizontal="center" vertical="center"/>
    </xf>
    <xf numFmtId="43" fontId="4" fillId="2" borderId="3" xfId="1" applyFont="1" applyFill="1" applyBorder="1" applyAlignment="1">
      <alignment horizontal="center" vertical="center" wrapText="1"/>
    </xf>
    <xf numFmtId="166" fontId="4" fillId="2" borderId="4" xfId="0" applyNumberFormat="1" applyFont="1" applyFill="1" applyBorder="1" applyAlignment="1">
      <alignment horizontal="center" vertical="center" wrapText="1"/>
    </xf>
    <xf numFmtId="17" fontId="4"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6" fontId="4" fillId="2" borderId="1" xfId="0" applyNumberFormat="1"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43" fontId="4" fillId="2" borderId="1" xfId="1" applyFont="1" applyFill="1" applyBorder="1" applyAlignment="1">
      <alignment horizontal="center" vertical="center" wrapText="1"/>
    </xf>
    <xf numFmtId="0" fontId="4" fillId="2" borderId="1" xfId="0" applyFont="1" applyFill="1" applyBorder="1" applyAlignment="1">
      <alignment horizontal="center" vertical="center"/>
    </xf>
    <xf numFmtId="166" fontId="4" fillId="2" borderId="1" xfId="0" applyNumberFormat="1" applyFont="1" applyFill="1" applyBorder="1" applyAlignment="1">
      <alignment horizontal="center" vertical="center"/>
    </xf>
    <xf numFmtId="17" fontId="4" fillId="2" borderId="1" xfId="0" applyNumberFormat="1" applyFont="1" applyFill="1" applyBorder="1" applyAlignment="1">
      <alignment horizontal="center" vertical="center"/>
    </xf>
    <xf numFmtId="166" fontId="4" fillId="2" borderId="3"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14" fontId="4" fillId="3" borderId="4" xfId="0" applyNumberFormat="1" applyFont="1" applyFill="1" applyBorder="1" applyAlignment="1">
      <alignment horizontal="center" vertical="center"/>
    </xf>
    <xf numFmtId="0" fontId="4" fillId="3" borderId="4" xfId="0" applyFont="1" applyFill="1" applyBorder="1" applyAlignment="1">
      <alignment horizontal="left" vertical="center" wrapText="1"/>
    </xf>
    <xf numFmtId="43" fontId="4" fillId="3" borderId="4" xfId="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left" vertical="center"/>
    </xf>
    <xf numFmtId="14" fontId="4" fillId="3" borderId="3" xfId="0" applyNumberFormat="1" applyFont="1" applyFill="1" applyBorder="1" applyAlignment="1">
      <alignment horizontal="center" vertical="center"/>
    </xf>
    <xf numFmtId="17" fontId="4" fillId="3" borderId="3" xfId="0" applyNumberFormat="1" applyFont="1" applyFill="1" applyBorder="1" applyAlignment="1">
      <alignment horizontal="center" vertical="center"/>
    </xf>
    <xf numFmtId="43" fontId="7" fillId="3" borderId="3" xfId="1" applyFont="1" applyFill="1" applyBorder="1" applyAlignment="1">
      <alignment horizontal="center" vertical="center" wrapText="1"/>
    </xf>
    <xf numFmtId="43" fontId="4" fillId="3" borderId="3" xfId="1" applyFont="1" applyFill="1" applyBorder="1" applyAlignment="1">
      <alignment horizontal="center" vertical="center" wrapText="1"/>
    </xf>
    <xf numFmtId="0" fontId="6" fillId="3" borderId="4" xfId="0" applyFont="1" applyFill="1" applyBorder="1" applyAlignment="1">
      <alignment horizontal="center" vertical="center" wrapText="1"/>
    </xf>
    <xf numFmtId="165" fontId="10" fillId="0" borderId="0" xfId="0" applyNumberFormat="1" applyFont="1" applyAlignment="1">
      <alignment horizontal="center" vertical="center"/>
    </xf>
    <xf numFmtId="43" fontId="10" fillId="0" borderId="0" xfId="0" applyNumberFormat="1" applyFont="1" applyAlignment="1">
      <alignment horizontal="center" vertical="center"/>
    </xf>
    <xf numFmtId="0" fontId="4" fillId="0" borderId="0" xfId="0" applyFont="1" applyBorder="1"/>
    <xf numFmtId="0" fontId="4" fillId="0" borderId="0" xfId="0" applyFont="1" applyBorder="1" applyAlignment="1">
      <alignment wrapText="1"/>
    </xf>
    <xf numFmtId="165" fontId="4" fillId="2" borderId="4" xfId="2" applyNumberFormat="1" applyFont="1" applyFill="1" applyBorder="1" applyAlignment="1">
      <alignment vertical="center" wrapText="1"/>
    </xf>
    <xf numFmtId="165" fontId="4" fillId="2" borderId="1" xfId="2" applyNumberFormat="1" applyFont="1" applyFill="1" applyBorder="1" applyAlignment="1">
      <alignment vertical="center" wrapText="1"/>
    </xf>
    <xf numFmtId="165" fontId="4" fillId="2" borderId="1" xfId="2" applyNumberFormat="1" applyFont="1" applyFill="1" applyBorder="1" applyAlignment="1">
      <alignment vertical="center"/>
    </xf>
    <xf numFmtId="165" fontId="4" fillId="2" borderId="3" xfId="2" applyNumberFormat="1" applyFont="1" applyFill="1" applyBorder="1" applyAlignment="1">
      <alignment vertical="center"/>
    </xf>
    <xf numFmtId="165" fontId="4" fillId="3" borderId="4" xfId="0" applyNumberFormat="1" applyFont="1" applyFill="1" applyBorder="1" applyAlignment="1">
      <alignment vertical="center"/>
    </xf>
    <xf numFmtId="165" fontId="4" fillId="3" borderId="3" xfId="0" applyNumberFormat="1" applyFont="1" applyFill="1" applyBorder="1" applyAlignment="1">
      <alignment vertical="center"/>
    </xf>
    <xf numFmtId="165" fontId="4" fillId="2" borderId="4"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xf>
    <xf numFmtId="165" fontId="4" fillId="3" borderId="3"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65" fontId="4" fillId="3" borderId="1" xfId="2" applyNumberFormat="1" applyFont="1" applyFill="1" applyBorder="1" applyAlignment="1">
      <alignment vertical="center" wrapText="1"/>
    </xf>
    <xf numFmtId="165" fontId="4" fillId="3" borderId="1" xfId="0" applyNumberFormat="1" applyFont="1" applyFill="1" applyBorder="1" applyAlignment="1">
      <alignment vertical="center"/>
    </xf>
    <xf numFmtId="0" fontId="4" fillId="3" borderId="1" xfId="0" applyFont="1" applyFill="1" applyBorder="1"/>
    <xf numFmtId="0" fontId="4" fillId="3" borderId="1" xfId="0" applyFont="1" applyFill="1" applyBorder="1" applyAlignment="1">
      <alignment horizontal="center" vertical="center"/>
    </xf>
    <xf numFmtId="165" fontId="4" fillId="3" borderId="1" xfId="0" applyNumberFormat="1" applyFont="1" applyFill="1" applyBorder="1"/>
    <xf numFmtId="165" fontId="4" fillId="3" borderId="1" xfId="0" applyNumberFormat="1" applyFont="1" applyFill="1" applyBorder="1" applyAlignment="1">
      <alignment horizontal="left" vertical="center"/>
    </xf>
    <xf numFmtId="43" fontId="4" fillId="3" borderId="1" xfId="1" applyFont="1" applyFill="1" applyBorder="1" applyAlignment="1">
      <alignment vertical="center" wrapText="1"/>
    </xf>
    <xf numFmtId="165" fontId="4" fillId="3" borderId="1" xfId="0" applyNumberFormat="1" applyFont="1" applyFill="1" applyBorder="1" applyAlignment="1">
      <alignment vertical="center" wrapText="1"/>
    </xf>
    <xf numFmtId="0" fontId="4" fillId="3" borderId="1" xfId="0" applyFont="1" applyFill="1" applyBorder="1" applyAlignment="1">
      <alignment wrapText="1"/>
    </xf>
    <xf numFmtId="165" fontId="4" fillId="3" borderId="1" xfId="0" applyNumberFormat="1" applyFont="1" applyFill="1" applyBorder="1" applyAlignment="1">
      <alignment wrapText="1"/>
    </xf>
    <xf numFmtId="165" fontId="4" fillId="3" borderId="1" xfId="0" applyNumberFormat="1" applyFont="1" applyFill="1" applyBorder="1" applyAlignment="1">
      <alignment horizontal="left" vertical="center" wrapText="1"/>
    </xf>
    <xf numFmtId="0" fontId="4" fillId="3" borderId="2" xfId="0" applyFont="1" applyFill="1" applyBorder="1" applyAlignment="1">
      <alignment horizontal="left" vertical="center" wrapText="1"/>
    </xf>
    <xf numFmtId="165" fontId="4" fillId="3" borderId="3" xfId="2" applyNumberFormat="1" applyFont="1" applyFill="1" applyBorder="1" applyAlignment="1">
      <alignment vertical="center" wrapText="1"/>
    </xf>
    <xf numFmtId="165" fontId="4" fillId="3" borderId="3" xfId="0" applyNumberFormat="1" applyFont="1" applyFill="1" applyBorder="1" applyAlignment="1">
      <alignment vertical="center" wrapText="1"/>
    </xf>
    <xf numFmtId="0" fontId="4" fillId="3" borderId="3" xfId="0" applyFont="1" applyFill="1" applyBorder="1" applyAlignment="1">
      <alignment wrapText="1"/>
    </xf>
    <xf numFmtId="165" fontId="4" fillId="3" borderId="3" xfId="0" applyNumberFormat="1" applyFont="1" applyFill="1" applyBorder="1" applyAlignment="1">
      <alignment wrapText="1"/>
    </xf>
    <xf numFmtId="165" fontId="4"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43" fontId="4" fillId="3" borderId="3" xfId="1" applyFont="1" applyFill="1" applyBorder="1" applyAlignment="1">
      <alignment vertical="center" wrapText="1"/>
    </xf>
    <xf numFmtId="165" fontId="0" fillId="0" borderId="0" xfId="0" applyNumberFormat="1" applyFont="1" applyAlignment="1">
      <alignment horizontal="center" vertical="center"/>
    </xf>
    <xf numFmtId="0" fontId="8" fillId="5" borderId="11" xfId="0" applyFont="1" applyFill="1" applyBorder="1" applyAlignment="1">
      <alignment horizontal="center" vertical="center" wrapText="1"/>
    </xf>
    <xf numFmtId="0" fontId="1" fillId="0" borderId="13" xfId="0" applyFont="1" applyBorder="1" applyAlignment="1">
      <alignment horizontal="center" vertical="center"/>
    </xf>
    <xf numFmtId="0" fontId="4" fillId="0" borderId="1" xfId="0" applyFont="1" applyBorder="1" applyAlignment="1">
      <alignment horizontal="center" vertical="center"/>
    </xf>
    <xf numFmtId="43" fontId="4" fillId="0" borderId="1" xfId="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2" applyNumberFormat="1" applyFont="1" applyBorder="1" applyAlignment="1">
      <alignment horizontal="center" vertical="center"/>
    </xf>
    <xf numFmtId="44" fontId="4" fillId="0" borderId="1" xfId="2" applyFont="1" applyBorder="1" applyAlignment="1">
      <alignment horizontal="center" vertical="center"/>
    </xf>
    <xf numFmtId="3"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8" fillId="5" borderId="0" xfId="0"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5" fillId="5" borderId="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43" fontId="12" fillId="3" borderId="1" xfId="1" applyFont="1" applyFill="1" applyBorder="1" applyAlignment="1">
      <alignment horizontal="center" vertical="center" wrapText="1"/>
    </xf>
    <xf numFmtId="17" fontId="12"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12" fillId="2" borderId="1" xfId="2"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43" fontId="12" fillId="2" borderId="1" xfId="1" applyFont="1" applyFill="1" applyBorder="1" applyAlignment="1">
      <alignment horizontal="center" vertical="center" wrapText="1"/>
    </xf>
    <xf numFmtId="0" fontId="12" fillId="2" borderId="1" xfId="0" applyFont="1" applyFill="1" applyBorder="1" applyAlignment="1">
      <alignment horizontal="center" vertical="center"/>
    </xf>
    <xf numFmtId="165" fontId="12" fillId="2" borderId="1" xfId="2"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13" fillId="3" borderId="1" xfId="0" applyFont="1" applyFill="1" applyBorder="1" applyAlignment="1">
      <alignment horizontal="center" vertical="center" wrapText="1"/>
    </xf>
    <xf numFmtId="165" fontId="12" fillId="3" borderId="1" xfId="2" applyNumberFormat="1" applyFont="1" applyFill="1" applyBorder="1" applyAlignment="1">
      <alignment horizontal="center" vertical="center" wrapText="1"/>
    </xf>
    <xf numFmtId="43" fontId="4" fillId="3" borderId="1" xfId="1"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164" fontId="4" fillId="3" borderId="1" xfId="2" applyNumberFormat="1" applyFont="1" applyFill="1" applyBorder="1" applyAlignment="1">
      <alignment horizontal="center" vertical="center"/>
    </xf>
    <xf numFmtId="0" fontId="0" fillId="0" borderId="0" xfId="0" applyFont="1" applyBorder="1" applyAlignment="1">
      <alignment vertical="center"/>
    </xf>
    <xf numFmtId="0" fontId="4" fillId="3" borderId="1" xfId="0" applyFont="1" applyFill="1" applyBorder="1" applyAlignment="1">
      <alignment horizontal="left" vertical="center"/>
    </xf>
    <xf numFmtId="0" fontId="4" fillId="3" borderId="1" xfId="0" applyFont="1" applyFill="1" applyBorder="1" applyAlignment="1">
      <alignment horizontal="center"/>
    </xf>
    <xf numFmtId="0" fontId="13" fillId="3" borderId="1" xfId="0" applyFont="1" applyFill="1" applyBorder="1" applyAlignment="1">
      <alignment vertical="center" wrapText="1"/>
    </xf>
    <xf numFmtId="164" fontId="4" fillId="3" borderId="1" xfId="2" applyNumberFormat="1" applyFont="1" applyFill="1" applyBorder="1" applyAlignment="1">
      <alignment vertical="center" wrapText="1"/>
    </xf>
    <xf numFmtId="0" fontId="4" fillId="3" borderId="1" xfId="0" applyFont="1" applyFill="1" applyBorder="1" applyAlignment="1">
      <alignment vertical="center" wrapText="1"/>
    </xf>
    <xf numFmtId="14" fontId="4" fillId="3" borderId="1" xfId="0" applyNumberFormat="1" applyFont="1" applyFill="1" applyBorder="1" applyAlignment="1">
      <alignment vertical="center" wrapText="1"/>
    </xf>
    <xf numFmtId="0" fontId="0" fillId="0" borderId="0" xfId="0" applyFont="1" applyAlignment="1">
      <alignment vertical="center"/>
    </xf>
    <xf numFmtId="0" fontId="11" fillId="5" borderId="0"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165" fontId="12" fillId="2" borderId="4" xfId="2" applyNumberFormat="1" applyFont="1" applyFill="1" applyBorder="1" applyAlignment="1">
      <alignment vertical="center" wrapText="1"/>
    </xf>
    <xf numFmtId="165" fontId="12" fillId="2" borderId="4" xfId="2" applyNumberFormat="1" applyFont="1" applyFill="1" applyBorder="1" applyAlignment="1">
      <alignment horizontal="center" vertical="center" wrapText="1"/>
    </xf>
    <xf numFmtId="14" fontId="12" fillId="2" borderId="4" xfId="0" applyNumberFormat="1" applyFont="1" applyFill="1" applyBorder="1" applyAlignment="1">
      <alignment horizontal="center" vertical="center" wrapText="1"/>
    </xf>
    <xf numFmtId="0" fontId="12" fillId="2" borderId="4" xfId="0" applyFont="1" applyFill="1" applyBorder="1" applyAlignment="1">
      <alignment horizontal="left" vertical="center" wrapText="1"/>
    </xf>
    <xf numFmtId="43" fontId="12" fillId="2" borderId="4" xfId="1" applyFont="1" applyFill="1" applyBorder="1" applyAlignment="1">
      <alignment horizontal="center" vertical="center" wrapText="1"/>
    </xf>
    <xf numFmtId="165" fontId="12" fillId="2" borderId="1" xfId="2" applyNumberFormat="1" applyFont="1" applyFill="1" applyBorder="1" applyAlignment="1">
      <alignment vertical="center" wrapText="1"/>
    </xf>
    <xf numFmtId="0" fontId="12" fillId="2" borderId="1" xfId="0" applyFont="1" applyFill="1" applyBorder="1" applyAlignment="1">
      <alignment horizontal="left" vertical="center" wrapText="1"/>
    </xf>
    <xf numFmtId="165" fontId="12" fillId="2" borderId="1" xfId="0" applyNumberFormat="1" applyFont="1" applyFill="1" applyBorder="1" applyAlignment="1">
      <alignment vertical="center" wrapText="1"/>
    </xf>
    <xf numFmtId="0" fontId="12" fillId="2" borderId="1" xfId="0" applyFont="1" applyFill="1" applyBorder="1" applyAlignment="1">
      <alignment horizontal="left" vertical="center"/>
    </xf>
    <xf numFmtId="0" fontId="12" fillId="2" borderId="0" xfId="0" applyFont="1" applyFill="1" applyBorder="1" applyAlignment="1">
      <alignment horizontal="center" vertical="center" wrapText="1"/>
    </xf>
    <xf numFmtId="165" fontId="12" fillId="2" borderId="4" xfId="2" applyNumberFormat="1" applyFont="1" applyFill="1" applyBorder="1" applyAlignment="1">
      <alignment vertical="center"/>
    </xf>
    <xf numFmtId="165" fontId="12" fillId="2" borderId="4" xfId="0" applyNumberFormat="1" applyFont="1" applyFill="1" applyBorder="1" applyAlignment="1">
      <alignment horizontal="center" vertical="center"/>
    </xf>
    <xf numFmtId="165" fontId="12" fillId="2" borderId="4" xfId="2" applyNumberFormat="1" applyFont="1" applyFill="1" applyBorder="1" applyAlignment="1">
      <alignment horizontal="center" vertical="center"/>
    </xf>
    <xf numFmtId="14" fontId="12" fillId="2" borderId="4" xfId="0" applyNumberFormat="1" applyFont="1" applyFill="1" applyBorder="1" applyAlignment="1">
      <alignment horizontal="center" vertical="center"/>
    </xf>
    <xf numFmtId="165" fontId="12" fillId="2" borderId="1" xfId="2" applyNumberFormat="1" applyFont="1" applyFill="1" applyBorder="1" applyAlignment="1">
      <alignment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165" fontId="12" fillId="2" borderId="3" xfId="2" applyNumberFormat="1" applyFont="1" applyFill="1" applyBorder="1" applyAlignment="1">
      <alignment vertical="center"/>
    </xf>
    <xf numFmtId="165" fontId="12" fillId="2" borderId="3" xfId="0" applyNumberFormat="1" applyFont="1" applyFill="1" applyBorder="1" applyAlignment="1">
      <alignment horizontal="center" vertical="center"/>
    </xf>
    <xf numFmtId="165" fontId="12" fillId="2" borderId="3" xfId="2" applyNumberFormat="1" applyFont="1" applyFill="1" applyBorder="1" applyAlignment="1">
      <alignment horizontal="center" vertical="center"/>
    </xf>
    <xf numFmtId="14" fontId="12" fillId="2" borderId="3" xfId="0" applyNumberFormat="1" applyFont="1" applyFill="1" applyBorder="1" applyAlignment="1">
      <alignment horizontal="center" vertical="center"/>
    </xf>
    <xf numFmtId="0" fontId="12" fillId="2" borderId="3" xfId="0" applyFont="1" applyFill="1" applyBorder="1" applyAlignment="1">
      <alignment horizontal="left" vertical="center" wrapText="1"/>
    </xf>
    <xf numFmtId="43" fontId="12" fillId="2" borderId="3" xfId="1"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165" fontId="12" fillId="3" borderId="4" xfId="2" applyNumberFormat="1" applyFont="1" applyFill="1" applyBorder="1" applyAlignment="1">
      <alignment vertical="center" wrapText="1"/>
    </xf>
    <xf numFmtId="165" fontId="12" fillId="3" borderId="4" xfId="0" applyNumberFormat="1"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43" fontId="12" fillId="3" borderId="4" xfId="1" applyFont="1" applyFill="1" applyBorder="1" applyAlignment="1">
      <alignment horizontal="center" vertical="center" wrapText="1"/>
    </xf>
    <xf numFmtId="0" fontId="0"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3" xfId="0" applyFont="1" applyFill="1" applyBorder="1" applyAlignment="1">
      <alignment horizontal="center" vertical="center" wrapText="1"/>
    </xf>
    <xf numFmtId="165" fontId="12" fillId="3" borderId="3" xfId="2" applyNumberFormat="1" applyFont="1" applyFill="1" applyBorder="1" applyAlignment="1">
      <alignment vertical="center" wrapText="1"/>
    </xf>
    <xf numFmtId="165" fontId="12" fillId="3" borderId="3" xfId="0" applyNumberFormat="1" applyFont="1" applyFill="1" applyBorder="1" applyAlignment="1">
      <alignment horizontal="center" vertical="center"/>
    </xf>
    <xf numFmtId="0" fontId="12" fillId="3" borderId="3" xfId="0" applyFont="1" applyFill="1" applyBorder="1" applyAlignment="1">
      <alignment horizontal="left" vertical="center"/>
    </xf>
    <xf numFmtId="43" fontId="12" fillId="3" borderId="3" xfId="1" applyFont="1" applyFill="1" applyBorder="1" applyAlignment="1">
      <alignment horizontal="center" vertical="center" wrapText="1"/>
    </xf>
    <xf numFmtId="0" fontId="0" fillId="3" borderId="3" xfId="0" applyFont="1" applyFill="1" applyBorder="1" applyAlignment="1">
      <alignment horizontal="center" vertical="center"/>
    </xf>
    <xf numFmtId="165" fontId="12" fillId="2" borderId="3" xfId="2" applyNumberFormat="1" applyFont="1" applyFill="1" applyBorder="1" applyAlignment="1">
      <alignment vertical="center" wrapText="1"/>
    </xf>
    <xf numFmtId="14" fontId="12" fillId="2" borderId="3" xfId="0" applyNumberFormat="1" applyFont="1" applyFill="1" applyBorder="1" applyAlignment="1">
      <alignment horizontal="center" vertical="center" wrapText="1"/>
    </xf>
    <xf numFmtId="165" fontId="12" fillId="3" borderId="1" xfId="2" applyNumberFormat="1" applyFont="1" applyFill="1" applyBorder="1" applyAlignment="1">
      <alignment vertical="center" wrapText="1"/>
    </xf>
    <xf numFmtId="0" fontId="12" fillId="3" borderId="1" xfId="0" applyFont="1" applyFill="1" applyBorder="1" applyAlignment="1">
      <alignment horizontal="left" vertical="center" wrapText="1"/>
    </xf>
    <xf numFmtId="165" fontId="12" fillId="3" borderId="1" xfId="0" applyNumberFormat="1" applyFont="1" applyFill="1" applyBorder="1" applyAlignment="1">
      <alignment vertical="center" wrapText="1"/>
    </xf>
    <xf numFmtId="9" fontId="12" fillId="3" borderId="1" xfId="0" applyNumberFormat="1" applyFont="1" applyFill="1" applyBorder="1" applyAlignment="1">
      <alignment horizontal="center" vertical="center" wrapText="1"/>
    </xf>
    <xf numFmtId="0" fontId="12" fillId="3" borderId="0" xfId="0" applyFont="1" applyFill="1" applyBorder="1" applyAlignment="1">
      <alignment horizontal="left"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left" vertical="center" wrapText="1"/>
    </xf>
    <xf numFmtId="165" fontId="12" fillId="2" borderId="4" xfId="0" applyNumberFormat="1" applyFont="1" applyFill="1" applyBorder="1" applyAlignment="1">
      <alignment vertical="center"/>
    </xf>
    <xf numFmtId="0" fontId="12" fillId="2" borderId="4" xfId="0" applyFont="1" applyFill="1" applyBorder="1" applyAlignment="1">
      <alignment horizontal="left" vertical="center"/>
    </xf>
    <xf numFmtId="165" fontId="12" fillId="2" borderId="1" xfId="0" applyNumberFormat="1" applyFont="1" applyFill="1" applyBorder="1" applyAlignment="1">
      <alignment vertical="center"/>
    </xf>
    <xf numFmtId="165" fontId="12" fillId="2" borderId="3" xfId="0" applyNumberFormat="1" applyFont="1" applyFill="1" applyBorder="1" applyAlignment="1">
      <alignment vertical="center"/>
    </xf>
    <xf numFmtId="165" fontId="12" fillId="3" borderId="4" xfId="2" applyNumberFormat="1" applyFont="1" applyFill="1" applyBorder="1" applyAlignment="1">
      <alignment horizontal="center" vertical="center" wrapText="1"/>
    </xf>
    <xf numFmtId="165" fontId="12" fillId="3" borderId="3" xfId="2" applyNumberFormat="1" applyFont="1" applyFill="1" applyBorder="1" applyAlignment="1">
      <alignment horizontal="center" vertical="center" wrapText="1"/>
    </xf>
    <xf numFmtId="165" fontId="12"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5" fontId="12" fillId="2" borderId="3" xfId="2" applyNumberFormat="1" applyFont="1" applyFill="1" applyBorder="1" applyAlignment="1">
      <alignment horizontal="center" vertical="center" wrapText="1"/>
    </xf>
    <xf numFmtId="0" fontId="0" fillId="0" borderId="0" xfId="0" applyFont="1" applyAlignment="1">
      <alignment horizontal="center" vertical="center"/>
    </xf>
    <xf numFmtId="0" fontId="12" fillId="4" borderId="4" xfId="0" applyFont="1" applyFill="1" applyBorder="1" applyAlignment="1">
      <alignment horizontal="center" vertical="center" wrapText="1"/>
    </xf>
    <xf numFmtId="165" fontId="12" fillId="4" borderId="4" xfId="2" applyNumberFormat="1" applyFont="1" applyFill="1" applyBorder="1" applyAlignment="1">
      <alignment vertical="center" wrapText="1"/>
    </xf>
    <xf numFmtId="165" fontId="12" fillId="4" borderId="4" xfId="0" applyNumberFormat="1" applyFont="1" applyFill="1" applyBorder="1" applyAlignment="1">
      <alignment horizontal="center" vertical="center" wrapText="1"/>
    </xf>
    <xf numFmtId="14" fontId="12" fillId="4" borderId="4" xfId="0" applyNumberFormat="1" applyFont="1" applyFill="1" applyBorder="1" applyAlignment="1">
      <alignment horizontal="center" vertical="center" wrapText="1"/>
    </xf>
    <xf numFmtId="0" fontId="12" fillId="4" borderId="4" xfId="0" applyFont="1" applyFill="1" applyBorder="1" applyAlignment="1">
      <alignment horizontal="left" vertical="center" wrapText="1"/>
    </xf>
    <xf numFmtId="43" fontId="12" fillId="4" borderId="4" xfId="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65" fontId="12" fillId="2" borderId="3" xfId="0" applyNumberFormat="1" applyFont="1" applyFill="1" applyBorder="1" applyAlignment="1">
      <alignment vertical="center" wrapText="1"/>
    </xf>
    <xf numFmtId="165" fontId="12" fillId="2" borderId="3"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65" fontId="12" fillId="0" borderId="1" xfId="0" applyNumberFormat="1" applyFont="1" applyFill="1" applyBorder="1" applyAlignment="1">
      <alignment vertical="center" wrapText="1"/>
    </xf>
    <xf numFmtId="165" fontId="12"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43" fontId="12"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165" fontId="12" fillId="0" borderId="3" xfId="0" applyNumberFormat="1" applyFont="1" applyFill="1" applyBorder="1" applyAlignment="1">
      <alignment vertical="center" wrapText="1"/>
    </xf>
    <xf numFmtId="165" fontId="12" fillId="0" borderId="3" xfId="0" applyNumberFormat="1" applyFont="1" applyFill="1" applyBorder="1" applyAlignment="1">
      <alignment horizontal="center" vertical="center"/>
    </xf>
    <xf numFmtId="0" fontId="12" fillId="0" borderId="3" xfId="0" applyFont="1" applyFill="1" applyBorder="1" applyAlignment="1">
      <alignment horizontal="left" vertical="center"/>
    </xf>
    <xf numFmtId="0" fontId="12" fillId="0" borderId="3" xfId="0" applyFont="1" applyFill="1" applyBorder="1" applyAlignment="1">
      <alignment horizontal="left" vertical="center" wrapText="1"/>
    </xf>
    <xf numFmtId="43" fontId="12" fillId="0" borderId="3" xfId="1" applyFont="1" applyFill="1" applyBorder="1" applyAlignment="1">
      <alignment horizontal="center" vertical="center" wrapText="1"/>
    </xf>
    <xf numFmtId="165" fontId="0" fillId="2" borderId="0" xfId="2" applyNumberFormat="1" applyFont="1" applyFill="1" applyBorder="1" applyAlignment="1">
      <alignment vertical="center"/>
    </xf>
    <xf numFmtId="165" fontId="12" fillId="0" borderId="1" xfId="2" applyNumberFormat="1" applyFont="1" applyFill="1" applyBorder="1" applyAlignment="1">
      <alignment vertical="center"/>
    </xf>
    <xf numFmtId="165" fontId="12" fillId="0" borderId="1" xfId="2" applyNumberFormat="1" applyFont="1" applyFill="1" applyBorder="1" applyAlignment="1">
      <alignment horizontal="center" vertical="center"/>
    </xf>
    <xf numFmtId="164" fontId="12" fillId="0" borderId="1" xfId="2" applyNumberFormat="1" applyFont="1" applyFill="1" applyBorder="1" applyAlignment="1">
      <alignment horizontal="center" vertical="center"/>
    </xf>
    <xf numFmtId="167" fontId="12" fillId="0" borderId="1" xfId="1" applyNumberFormat="1" applyFont="1" applyFill="1" applyBorder="1" applyAlignment="1">
      <alignment horizontal="center" vertical="center"/>
    </xf>
    <xf numFmtId="0" fontId="13" fillId="0" borderId="1" xfId="3"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6" fontId="13" fillId="0" borderId="1" xfId="0" applyNumberFormat="1" applyFont="1" applyFill="1" applyBorder="1" applyAlignment="1" applyProtection="1">
      <alignment horizontal="center" vertical="center" wrapText="1"/>
      <protection locked="0"/>
    </xf>
    <xf numFmtId="165" fontId="12" fillId="0" borderId="1" xfId="0" applyNumberFormat="1" applyFont="1" applyFill="1" applyBorder="1" applyAlignment="1">
      <alignment vertical="center"/>
    </xf>
    <xf numFmtId="165" fontId="12" fillId="3" borderId="1" xfId="2" applyNumberFormat="1" applyFont="1" applyFill="1" applyBorder="1" applyAlignment="1">
      <alignment vertical="center"/>
    </xf>
    <xf numFmtId="165" fontId="12" fillId="0" borderId="0" xfId="2" applyNumberFormat="1" applyFont="1" applyFill="1" applyBorder="1" applyAlignment="1">
      <alignment horizontal="center" vertical="center"/>
    </xf>
    <xf numFmtId="17" fontId="12" fillId="0" borderId="1" xfId="0" applyNumberFormat="1" applyFont="1" applyFill="1" applyBorder="1" applyAlignment="1">
      <alignment horizontal="center" vertical="center" wrapText="1"/>
    </xf>
    <xf numFmtId="165" fontId="12" fillId="0" borderId="1" xfId="2" applyNumberFormat="1" applyFont="1" applyFill="1" applyBorder="1" applyAlignment="1">
      <alignment vertical="center" wrapText="1"/>
    </xf>
    <xf numFmtId="0" fontId="12" fillId="0" borderId="0" xfId="0" applyFont="1" applyFill="1" applyBorder="1" applyAlignment="1">
      <alignment horizontal="center" vertical="center"/>
    </xf>
    <xf numFmtId="165" fontId="12" fillId="0" borderId="1" xfId="2"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6" fontId="13" fillId="2" borderId="1" xfId="0" applyNumberFormat="1" applyFont="1" applyFill="1" applyBorder="1" applyAlignment="1" applyProtection="1">
      <alignment horizontal="center" vertical="center" wrapText="1"/>
      <protection locked="0"/>
    </xf>
    <xf numFmtId="164" fontId="12" fillId="2" borderId="1" xfId="2" applyNumberFormat="1" applyFont="1" applyFill="1" applyBorder="1" applyAlignment="1">
      <alignment horizontal="center" vertical="center"/>
    </xf>
    <xf numFmtId="14" fontId="12" fillId="2" borderId="1" xfId="0" quotePrefix="1" applyNumberFormat="1" applyFont="1" applyFill="1" applyBorder="1" applyAlignment="1">
      <alignment horizontal="center" vertical="center"/>
    </xf>
    <xf numFmtId="0" fontId="0" fillId="3" borderId="1" xfId="0" applyFont="1" applyFill="1" applyBorder="1" applyAlignment="1">
      <alignment horizontal="center" vertical="center"/>
    </xf>
    <xf numFmtId="165" fontId="0" fillId="3" borderId="1" xfId="0" applyNumberFormat="1" applyFont="1" applyFill="1" applyBorder="1" applyAlignment="1">
      <alignment horizontal="center" vertical="center"/>
    </xf>
    <xf numFmtId="0" fontId="0" fillId="3" borderId="0" xfId="0" applyFont="1" applyFill="1" applyAlignment="1">
      <alignment wrapText="1"/>
    </xf>
    <xf numFmtId="165" fontId="0" fillId="3" borderId="3"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12" fillId="3" borderId="0" xfId="0" applyFont="1" applyFill="1" applyBorder="1" applyAlignment="1">
      <alignment horizontal="center" vertical="center"/>
    </xf>
    <xf numFmtId="0" fontId="12" fillId="3" borderId="0" xfId="0" applyFont="1" applyFill="1" applyBorder="1" applyAlignment="1">
      <alignment horizontal="center" vertical="center" wrapText="1"/>
    </xf>
    <xf numFmtId="165" fontId="12" fillId="3" borderId="0" xfId="2" applyNumberFormat="1" applyFont="1" applyFill="1" applyBorder="1" applyAlignment="1">
      <alignment vertical="center"/>
    </xf>
    <xf numFmtId="165" fontId="12" fillId="3" borderId="0" xfId="0" applyNumberFormat="1" applyFont="1" applyFill="1" applyBorder="1" applyAlignment="1">
      <alignment vertical="center"/>
    </xf>
    <xf numFmtId="165" fontId="12" fillId="3" borderId="0" xfId="2" applyNumberFormat="1" applyFont="1" applyFill="1" applyBorder="1" applyAlignment="1">
      <alignment horizontal="center" vertical="center"/>
    </xf>
    <xf numFmtId="14" fontId="12" fillId="3" borderId="0" xfId="0" applyNumberFormat="1" applyFont="1" applyFill="1" applyBorder="1" applyAlignment="1">
      <alignment horizontal="center" vertical="center"/>
    </xf>
    <xf numFmtId="0" fontId="12" fillId="3" borderId="0" xfId="0" applyFont="1" applyFill="1" applyBorder="1" applyAlignment="1">
      <alignment horizontal="left" vertical="center"/>
    </xf>
    <xf numFmtId="43" fontId="12" fillId="3" borderId="0" xfId="1"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165" fontId="0" fillId="3"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20" xfId="0" applyFont="1" applyFill="1" applyBorder="1" applyAlignment="1">
      <alignment horizontal="center" vertical="center" wrapText="1"/>
    </xf>
    <xf numFmtId="165" fontId="12" fillId="2" borderId="20" xfId="0" applyNumberFormat="1" applyFont="1" applyFill="1" applyBorder="1" applyAlignment="1">
      <alignment vertical="center"/>
    </xf>
    <xf numFmtId="165" fontId="12" fillId="2" borderId="20" xfId="2" applyNumberFormat="1" applyFont="1" applyFill="1" applyBorder="1" applyAlignment="1">
      <alignment horizontal="center" vertical="center"/>
    </xf>
    <xf numFmtId="14" fontId="12" fillId="2" borderId="20" xfId="0" applyNumberFormat="1" applyFont="1" applyFill="1" applyBorder="1" applyAlignment="1">
      <alignment horizontal="center" vertical="center"/>
    </xf>
    <xf numFmtId="0" fontId="12" fillId="2" borderId="20" xfId="0" applyFont="1" applyFill="1" applyBorder="1" applyAlignment="1">
      <alignment horizontal="left" vertical="center" wrapText="1"/>
    </xf>
    <xf numFmtId="0" fontId="12" fillId="2" borderId="20" xfId="0" applyFont="1" applyFill="1" applyBorder="1" applyAlignment="1">
      <alignment horizontal="left" vertical="center"/>
    </xf>
    <xf numFmtId="43" fontId="12" fillId="2" borderId="20"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6" fillId="6" borderId="1" xfId="0" applyNumberFormat="1" applyFont="1" applyFill="1" applyBorder="1" applyAlignment="1">
      <alignment horizontal="center" vertical="center" wrapText="1"/>
    </xf>
    <xf numFmtId="49" fontId="16" fillId="6" borderId="3"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 fillId="6" borderId="4" xfId="0" quotePrefix="1" applyFont="1" applyFill="1" applyBorder="1" applyAlignment="1">
      <alignment horizontal="center" vertical="center" wrapText="1"/>
    </xf>
    <xf numFmtId="0" fontId="3" fillId="6" borderId="1" xfId="0" quotePrefix="1" applyFont="1" applyFill="1" applyBorder="1" applyAlignment="1">
      <alignment horizontal="center" vertical="center" wrapText="1"/>
    </xf>
    <xf numFmtId="0" fontId="3" fillId="6" borderId="3" xfId="0" quotePrefix="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165" fontId="8" fillId="5" borderId="16" xfId="0" applyNumberFormat="1" applyFont="1" applyFill="1" applyBorder="1" applyAlignment="1">
      <alignment horizontal="center" vertical="center" wrapText="1"/>
    </xf>
    <xf numFmtId="165" fontId="8" fillId="5" borderId="11"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0" fillId="0" borderId="4" xfId="0" applyFont="1" applyBorder="1" applyAlignment="1">
      <alignment horizontal="left" vertical="center"/>
    </xf>
    <xf numFmtId="0" fontId="0" fillId="0" borderId="1" xfId="0" applyFont="1" applyBorder="1" applyAlignment="1">
      <alignment horizontal="left"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8" fillId="5" borderId="12"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colors>
    <mruColors>
      <color rgb="FF212933"/>
      <color rgb="FF1C24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6"/>
  <sheetViews>
    <sheetView tabSelected="1" zoomScale="70" zoomScaleNormal="70" workbookViewId="0">
      <pane ySplit="2" topLeftCell="A46" activePane="bottomLeft" state="frozen"/>
      <selection pane="bottomLeft" activeCell="D138" sqref="D138:D141"/>
    </sheetView>
  </sheetViews>
  <sheetFormatPr defaultColWidth="9.140625" defaultRowHeight="15" x14ac:dyDescent="0.25"/>
  <cols>
    <col min="1" max="1" width="12.42578125" style="177" customWidth="1"/>
    <col min="2" max="2" width="20.28515625" style="231" customWidth="1"/>
    <col min="3" max="4" width="15.85546875" style="231" customWidth="1"/>
    <col min="5" max="5" width="54.5703125" style="231" customWidth="1"/>
    <col min="6" max="6" width="19.42578125" style="73" customWidth="1"/>
    <col min="7" max="8" width="15.5703125" style="73" customWidth="1"/>
    <col min="9" max="9" width="20.140625" style="177" bestFit="1" customWidth="1"/>
    <col min="10" max="11" width="18.42578125" style="177" bestFit="1" customWidth="1"/>
    <col min="12" max="12" width="24" style="177" bestFit="1" customWidth="1"/>
    <col min="13" max="16" width="18.42578125" style="177" customWidth="1"/>
    <col min="17" max="17" width="20" style="177" customWidth="1"/>
    <col min="18" max="18" width="31.140625" style="177" customWidth="1"/>
    <col min="19" max="19" width="14.5703125" style="177" customWidth="1"/>
    <col min="20" max="20" width="15.42578125" style="177" customWidth="1"/>
    <col min="21" max="22" width="26.85546875" style="232" customWidth="1"/>
    <col min="23" max="23" width="26.85546875" style="177" customWidth="1"/>
    <col min="24" max="24" width="42.5703125" style="177" bestFit="1" customWidth="1"/>
    <col min="25" max="26" width="26.85546875" style="177" customWidth="1"/>
    <col min="27" max="27" width="32.5703125" style="177" customWidth="1"/>
    <col min="28" max="35" width="13.85546875" style="177" customWidth="1"/>
    <col min="36" max="36" width="26.5703125" style="177" customWidth="1"/>
    <col min="37" max="37" width="25.140625" style="177" customWidth="1"/>
    <col min="38" max="39" width="20.85546875" style="177" customWidth="1"/>
    <col min="40" max="16384" width="9.140625" style="114"/>
  </cols>
  <sheetData>
    <row r="1" spans="1:47" ht="14.45" customHeight="1" x14ac:dyDescent="0.25">
      <c r="A1" s="275" t="s">
        <v>14</v>
      </c>
      <c r="B1" s="268" t="s">
        <v>24</v>
      </c>
      <c r="C1" s="268" t="s">
        <v>3</v>
      </c>
      <c r="D1" s="268" t="s">
        <v>669</v>
      </c>
      <c r="E1" s="268" t="s">
        <v>23</v>
      </c>
      <c r="F1" s="273" t="s">
        <v>19</v>
      </c>
      <c r="G1" s="273" t="s">
        <v>20</v>
      </c>
      <c r="H1" s="273" t="s">
        <v>7</v>
      </c>
      <c r="I1" s="268" t="s">
        <v>8</v>
      </c>
      <c r="J1" s="268" t="s">
        <v>9</v>
      </c>
      <c r="K1" s="268" t="s">
        <v>10</v>
      </c>
      <c r="L1" s="268" t="s">
        <v>164</v>
      </c>
      <c r="M1" s="270" t="s">
        <v>31</v>
      </c>
      <c r="N1" s="271"/>
      <c r="O1" s="271"/>
      <c r="P1" s="272"/>
      <c r="Q1" s="268" t="s">
        <v>40</v>
      </c>
      <c r="R1" s="268" t="s">
        <v>6</v>
      </c>
      <c r="S1" s="268" t="s">
        <v>4</v>
      </c>
      <c r="T1" s="268" t="s">
        <v>5</v>
      </c>
      <c r="U1" s="268" t="s">
        <v>18</v>
      </c>
      <c r="V1" s="268" t="s">
        <v>11</v>
      </c>
      <c r="W1" s="268" t="s">
        <v>15</v>
      </c>
      <c r="X1" s="268" t="s">
        <v>41</v>
      </c>
      <c r="Y1" s="268" t="s">
        <v>16</v>
      </c>
      <c r="Z1" s="268" t="s">
        <v>17</v>
      </c>
      <c r="AA1" s="268" t="s">
        <v>38</v>
      </c>
      <c r="AB1" s="279" t="s">
        <v>39</v>
      </c>
      <c r="AC1" s="280"/>
      <c r="AD1" s="280"/>
      <c r="AE1" s="280"/>
      <c r="AF1" s="280"/>
      <c r="AG1" s="280"/>
      <c r="AH1" s="280"/>
      <c r="AI1" s="281"/>
      <c r="AJ1" s="288" t="s">
        <v>12</v>
      </c>
      <c r="AK1" s="288" t="s">
        <v>22</v>
      </c>
      <c r="AL1" s="288" t="s">
        <v>21</v>
      </c>
      <c r="AM1" s="288" t="s">
        <v>13</v>
      </c>
      <c r="AO1" s="282" t="s">
        <v>2</v>
      </c>
      <c r="AP1" s="283"/>
      <c r="AQ1" s="283"/>
      <c r="AR1" s="283"/>
      <c r="AS1" s="283"/>
      <c r="AT1" s="283"/>
      <c r="AU1" s="284"/>
    </row>
    <row r="2" spans="1:47" s="1" customFormat="1" ht="104.25" customHeight="1" x14ac:dyDescent="0.25">
      <c r="A2" s="276"/>
      <c r="B2" s="269"/>
      <c r="C2" s="269"/>
      <c r="D2" s="269"/>
      <c r="E2" s="269"/>
      <c r="F2" s="274"/>
      <c r="G2" s="274"/>
      <c r="H2" s="274"/>
      <c r="I2" s="269"/>
      <c r="J2" s="269"/>
      <c r="K2" s="269"/>
      <c r="L2" s="269"/>
      <c r="M2" s="74" t="s">
        <v>32</v>
      </c>
      <c r="N2" s="74" t="s">
        <v>33</v>
      </c>
      <c r="O2" s="74" t="s">
        <v>34</v>
      </c>
      <c r="P2" s="74" t="s">
        <v>35</v>
      </c>
      <c r="Q2" s="269"/>
      <c r="R2" s="269"/>
      <c r="S2" s="269"/>
      <c r="T2" s="269"/>
      <c r="U2" s="269"/>
      <c r="V2" s="269"/>
      <c r="W2" s="269"/>
      <c r="X2" s="269"/>
      <c r="Y2" s="269"/>
      <c r="Z2" s="269"/>
      <c r="AA2" s="269"/>
      <c r="AB2" s="87" t="s">
        <v>25</v>
      </c>
      <c r="AC2" s="87" t="s">
        <v>26</v>
      </c>
      <c r="AD2" s="87" t="s">
        <v>36</v>
      </c>
      <c r="AE2" s="87" t="s">
        <v>37</v>
      </c>
      <c r="AF2" s="87" t="s">
        <v>27</v>
      </c>
      <c r="AG2" s="87" t="s">
        <v>28</v>
      </c>
      <c r="AH2" s="87" t="s">
        <v>29</v>
      </c>
      <c r="AI2" s="87" t="s">
        <v>30</v>
      </c>
      <c r="AJ2" s="269"/>
      <c r="AK2" s="269"/>
      <c r="AL2" s="269"/>
      <c r="AM2" s="269"/>
      <c r="AN2" s="75"/>
      <c r="AO2" s="285"/>
      <c r="AP2" s="286"/>
      <c r="AQ2" s="286"/>
      <c r="AR2" s="286"/>
      <c r="AS2" s="286"/>
      <c r="AT2" s="286"/>
      <c r="AU2" s="287"/>
    </row>
    <row r="3" spans="1:47" s="1" customFormat="1" ht="12" hidden="1" customHeight="1" x14ac:dyDescent="0.25">
      <c r="A3" s="83"/>
      <c r="B3" s="83"/>
      <c r="C3" s="83"/>
      <c r="D3" s="83"/>
      <c r="E3" s="83"/>
      <c r="F3" s="84"/>
      <c r="G3" s="84"/>
      <c r="H3" s="84"/>
      <c r="I3" s="83"/>
      <c r="J3" s="83"/>
      <c r="K3" s="83"/>
      <c r="L3" s="83"/>
      <c r="M3" s="83"/>
      <c r="N3" s="83"/>
      <c r="O3" s="83"/>
      <c r="P3" s="83"/>
      <c r="Q3" s="83"/>
      <c r="R3" s="83"/>
      <c r="S3" s="83"/>
      <c r="T3" s="83"/>
      <c r="U3" s="83"/>
      <c r="V3" s="83"/>
      <c r="W3" s="83"/>
      <c r="X3" s="83"/>
      <c r="Y3" s="83"/>
      <c r="Z3" s="83"/>
      <c r="AA3" s="83"/>
      <c r="AB3" s="115"/>
      <c r="AC3" s="115"/>
      <c r="AD3" s="115"/>
      <c r="AE3" s="115"/>
      <c r="AF3" s="115"/>
      <c r="AG3" s="115"/>
      <c r="AH3" s="115"/>
      <c r="AI3" s="115"/>
      <c r="AJ3" s="83"/>
      <c r="AK3" s="83"/>
      <c r="AL3" s="83"/>
      <c r="AM3" s="83"/>
      <c r="AN3" s="85"/>
      <c r="AO3" s="86"/>
      <c r="AP3" s="86"/>
      <c r="AQ3" s="86"/>
      <c r="AR3" s="86"/>
      <c r="AS3" s="86"/>
      <c r="AT3" s="86"/>
      <c r="AU3" s="86"/>
    </row>
    <row r="4" spans="1:47" ht="102" x14ac:dyDescent="0.25">
      <c r="A4" s="116" t="s">
        <v>42</v>
      </c>
      <c r="B4" s="117" t="s">
        <v>43</v>
      </c>
      <c r="C4" s="117" t="s">
        <v>44</v>
      </c>
      <c r="D4" s="117"/>
      <c r="E4" s="117" t="s">
        <v>45</v>
      </c>
      <c r="F4" s="118">
        <v>28500000</v>
      </c>
      <c r="G4" s="118">
        <v>14250000</v>
      </c>
      <c r="H4" s="118">
        <v>14250000</v>
      </c>
      <c r="I4" s="117" t="s">
        <v>46</v>
      </c>
      <c r="J4" s="117"/>
      <c r="K4" s="117"/>
      <c r="L4" s="117">
        <v>90</v>
      </c>
      <c r="M4" s="119">
        <f>F4*0.125</f>
        <v>3562500</v>
      </c>
      <c r="N4" s="119">
        <f>M4</f>
        <v>3562500</v>
      </c>
      <c r="O4" s="119">
        <f>N4</f>
        <v>3562500</v>
      </c>
      <c r="P4" s="119">
        <f>O4</f>
        <v>3562500</v>
      </c>
      <c r="Q4" s="117" t="s">
        <v>47</v>
      </c>
      <c r="R4" s="117"/>
      <c r="S4" s="120">
        <v>44013</v>
      </c>
      <c r="T4" s="120">
        <v>44743</v>
      </c>
      <c r="U4" s="121" t="s">
        <v>48</v>
      </c>
      <c r="V4" s="121" t="s">
        <v>49</v>
      </c>
      <c r="W4" s="117" t="s">
        <v>50</v>
      </c>
      <c r="X4" s="117" t="s">
        <v>50</v>
      </c>
      <c r="Y4" s="117" t="s">
        <v>51</v>
      </c>
      <c r="Z4" s="117" t="s">
        <v>51</v>
      </c>
      <c r="AA4" s="117" t="s">
        <v>52</v>
      </c>
      <c r="AB4" s="122" t="s">
        <v>53</v>
      </c>
      <c r="AC4" s="122" t="s">
        <v>53</v>
      </c>
      <c r="AD4" s="122"/>
      <c r="AE4" s="122"/>
      <c r="AF4" s="122"/>
      <c r="AG4" s="122"/>
      <c r="AH4" s="122"/>
      <c r="AI4" s="122" t="s">
        <v>53</v>
      </c>
      <c r="AJ4" s="117" t="s">
        <v>52</v>
      </c>
      <c r="AK4" s="117"/>
      <c r="AL4" s="122">
        <f>F4/92000</f>
        <v>309.78260869565219</v>
      </c>
      <c r="AM4" s="117" t="s">
        <v>54</v>
      </c>
      <c r="AO4" s="277" t="s">
        <v>0</v>
      </c>
      <c r="AP4" s="277"/>
      <c r="AQ4" s="277"/>
      <c r="AR4" s="277"/>
      <c r="AS4" s="277"/>
      <c r="AT4" s="277"/>
      <c r="AU4" s="277"/>
    </row>
    <row r="5" spans="1:47" ht="109.5" customHeight="1" x14ac:dyDescent="0.25">
      <c r="A5" s="246" t="s">
        <v>55</v>
      </c>
      <c r="B5" s="247" t="s">
        <v>43</v>
      </c>
      <c r="C5" s="247" t="s">
        <v>670</v>
      </c>
      <c r="D5" s="247"/>
      <c r="E5" s="247" t="s">
        <v>631</v>
      </c>
      <c r="F5" s="248">
        <v>35351000</v>
      </c>
      <c r="G5" s="248">
        <f>F5/2</f>
        <v>17675500</v>
      </c>
      <c r="H5" s="248">
        <f>G5</f>
        <v>17675500</v>
      </c>
      <c r="I5" s="247" t="s">
        <v>56</v>
      </c>
      <c r="J5" s="246"/>
      <c r="K5" s="246"/>
      <c r="L5" s="246">
        <v>180</v>
      </c>
      <c r="M5" s="249">
        <v>20302830</v>
      </c>
      <c r="N5" s="249">
        <v>19651830</v>
      </c>
      <c r="O5" s="249">
        <f>N5</f>
        <v>19651830</v>
      </c>
      <c r="P5" s="249"/>
      <c r="Q5" s="246" t="s">
        <v>57</v>
      </c>
      <c r="R5" s="246"/>
      <c r="S5" s="250">
        <v>44105</v>
      </c>
      <c r="T5" s="250">
        <v>44470</v>
      </c>
      <c r="U5" s="251" t="s">
        <v>58</v>
      </c>
      <c r="V5" s="252" t="s">
        <v>59</v>
      </c>
      <c r="W5" s="246" t="s">
        <v>50</v>
      </c>
      <c r="X5" s="246" t="s">
        <v>50</v>
      </c>
      <c r="Y5" s="246" t="s">
        <v>51</v>
      </c>
      <c r="Z5" s="246" t="s">
        <v>51</v>
      </c>
      <c r="AA5" s="247" t="s">
        <v>60</v>
      </c>
      <c r="AB5" s="253" t="s">
        <v>61</v>
      </c>
      <c r="AC5" s="253"/>
      <c r="AD5" s="253"/>
      <c r="AE5" s="253"/>
      <c r="AF5" s="253"/>
      <c r="AG5" s="253"/>
      <c r="AH5" s="253"/>
      <c r="AI5" s="253"/>
      <c r="AJ5" s="246"/>
      <c r="AK5" s="246"/>
      <c r="AL5" s="253">
        <f t="shared" ref="AL5" si="0">F5/92000</f>
        <v>384.25</v>
      </c>
      <c r="AM5" s="247" t="s">
        <v>62</v>
      </c>
      <c r="AO5" s="278" t="s">
        <v>1</v>
      </c>
      <c r="AP5" s="278"/>
      <c r="AQ5" s="278"/>
      <c r="AR5" s="278"/>
      <c r="AS5" s="278"/>
      <c r="AT5" s="278"/>
      <c r="AU5" s="278"/>
    </row>
    <row r="6" spans="1:47" ht="126" customHeight="1" x14ac:dyDescent="0.25">
      <c r="A6" s="93" t="s">
        <v>69</v>
      </c>
      <c r="B6" s="93" t="s">
        <v>43</v>
      </c>
      <c r="C6" s="93" t="s">
        <v>70</v>
      </c>
      <c r="D6" s="93"/>
      <c r="E6" s="93" t="s">
        <v>71</v>
      </c>
      <c r="F6" s="123">
        <v>1200000</v>
      </c>
      <c r="G6" s="123">
        <v>600000</v>
      </c>
      <c r="H6" s="123">
        <v>600000</v>
      </c>
      <c r="I6" s="97" t="s">
        <v>68</v>
      </c>
      <c r="J6" s="93"/>
      <c r="K6" s="93"/>
      <c r="L6" s="93">
        <v>180</v>
      </c>
      <c r="M6" s="94"/>
      <c r="N6" s="94">
        <v>300000</v>
      </c>
      <c r="O6" s="94">
        <v>800000</v>
      </c>
      <c r="P6" s="94">
        <v>1200000</v>
      </c>
      <c r="Q6" s="97" t="s">
        <v>72</v>
      </c>
      <c r="R6" s="93"/>
      <c r="S6" s="95">
        <v>44044</v>
      </c>
      <c r="T6" s="95">
        <v>44196</v>
      </c>
      <c r="U6" s="124" t="s">
        <v>73</v>
      </c>
      <c r="V6" s="124" t="s">
        <v>74</v>
      </c>
      <c r="W6" s="93" t="s">
        <v>75</v>
      </c>
      <c r="X6" s="93" t="s">
        <v>50</v>
      </c>
      <c r="Y6" s="93" t="s">
        <v>50</v>
      </c>
      <c r="Z6" s="93" t="s">
        <v>51</v>
      </c>
      <c r="AA6" s="93" t="s">
        <v>76</v>
      </c>
      <c r="AB6" s="96" t="s">
        <v>53</v>
      </c>
      <c r="AC6" s="96" t="s">
        <v>53</v>
      </c>
      <c r="AD6" s="96"/>
      <c r="AE6" s="96"/>
      <c r="AF6" s="96"/>
      <c r="AG6" s="96"/>
      <c r="AH6" s="96"/>
      <c r="AI6" s="96"/>
      <c r="AJ6" s="93" t="s">
        <v>52</v>
      </c>
      <c r="AK6" s="93"/>
      <c r="AL6" s="96">
        <f t="shared" ref="AL6:AL30" si="1">F6/92000</f>
        <v>13.043478260869565</v>
      </c>
      <c r="AM6" s="93" t="s">
        <v>62</v>
      </c>
    </row>
    <row r="7" spans="1:47" ht="114.75" customHeight="1" x14ac:dyDescent="0.25">
      <c r="A7" s="93" t="s">
        <v>77</v>
      </c>
      <c r="B7" s="93" t="s">
        <v>43</v>
      </c>
      <c r="C7" s="93" t="s">
        <v>78</v>
      </c>
      <c r="D7" s="93"/>
      <c r="E7" s="93" t="s">
        <v>79</v>
      </c>
      <c r="F7" s="123">
        <v>10000000</v>
      </c>
      <c r="G7" s="123">
        <v>5000000</v>
      </c>
      <c r="H7" s="123">
        <v>5000000</v>
      </c>
      <c r="I7" s="92" t="s">
        <v>80</v>
      </c>
      <c r="J7" s="93"/>
      <c r="K7" s="93"/>
      <c r="L7" s="93">
        <v>365</v>
      </c>
      <c r="M7" s="94"/>
      <c r="N7" s="94"/>
      <c r="O7" s="94"/>
      <c r="P7" s="94">
        <v>0</v>
      </c>
      <c r="Q7" s="93" t="s">
        <v>81</v>
      </c>
      <c r="R7" s="93" t="s">
        <v>82</v>
      </c>
      <c r="S7" s="95">
        <v>44378</v>
      </c>
      <c r="T7" s="95">
        <v>44926</v>
      </c>
      <c r="U7" s="124" t="s">
        <v>83</v>
      </c>
      <c r="V7" s="124" t="s">
        <v>84</v>
      </c>
      <c r="W7" s="93" t="s">
        <v>50</v>
      </c>
      <c r="X7" s="93" t="s">
        <v>50</v>
      </c>
      <c r="Y7" s="93" t="s">
        <v>50</v>
      </c>
      <c r="Z7" s="93" t="s">
        <v>51</v>
      </c>
      <c r="AA7" s="93" t="s">
        <v>76</v>
      </c>
      <c r="AB7" s="96" t="s">
        <v>53</v>
      </c>
      <c r="AC7" s="96" t="s">
        <v>53</v>
      </c>
      <c r="AD7" s="96"/>
      <c r="AE7" s="96"/>
      <c r="AF7" s="96"/>
      <c r="AG7" s="96"/>
      <c r="AH7" s="96"/>
      <c r="AI7" s="96"/>
      <c r="AJ7" s="93"/>
      <c r="AK7" s="93"/>
      <c r="AL7" s="96">
        <f t="shared" si="1"/>
        <v>108.69565217391305</v>
      </c>
      <c r="AM7" s="93" t="s">
        <v>62</v>
      </c>
    </row>
    <row r="8" spans="1:47" ht="129" customHeight="1" x14ac:dyDescent="0.25">
      <c r="A8" s="93" t="s">
        <v>77</v>
      </c>
      <c r="B8" s="93" t="s">
        <v>43</v>
      </c>
      <c r="C8" s="93" t="s">
        <v>78</v>
      </c>
      <c r="D8" s="93"/>
      <c r="E8" s="93" t="s">
        <v>85</v>
      </c>
      <c r="F8" s="123">
        <v>20000000</v>
      </c>
      <c r="G8" s="123">
        <v>10000000</v>
      </c>
      <c r="H8" s="123">
        <v>10000000</v>
      </c>
      <c r="I8" s="92" t="s">
        <v>80</v>
      </c>
      <c r="J8" s="93"/>
      <c r="K8" s="93"/>
      <c r="L8" s="93" t="s">
        <v>86</v>
      </c>
      <c r="M8" s="94"/>
      <c r="N8" s="94"/>
      <c r="O8" s="94"/>
      <c r="P8" s="94">
        <v>0</v>
      </c>
      <c r="Q8" s="93" t="s">
        <v>81</v>
      </c>
      <c r="R8" s="93" t="s">
        <v>82</v>
      </c>
      <c r="S8" s="95">
        <v>44743</v>
      </c>
      <c r="T8" s="95">
        <v>45473</v>
      </c>
      <c r="U8" s="124" t="s">
        <v>83</v>
      </c>
      <c r="V8" s="124" t="s">
        <v>84</v>
      </c>
      <c r="W8" s="93" t="s">
        <v>50</v>
      </c>
      <c r="X8" s="93" t="s">
        <v>50</v>
      </c>
      <c r="Y8" s="93" t="s">
        <v>50</v>
      </c>
      <c r="Z8" s="93" t="s">
        <v>51</v>
      </c>
      <c r="AA8" s="93" t="s">
        <v>76</v>
      </c>
      <c r="AB8" s="96" t="s">
        <v>53</v>
      </c>
      <c r="AC8" s="96" t="s">
        <v>53</v>
      </c>
      <c r="AD8" s="96"/>
      <c r="AE8" s="96"/>
      <c r="AF8" s="96"/>
      <c r="AG8" s="96"/>
      <c r="AH8" s="96"/>
      <c r="AI8" s="96"/>
      <c r="AJ8" s="93"/>
      <c r="AK8" s="93"/>
      <c r="AL8" s="96">
        <f t="shared" si="1"/>
        <v>217.39130434782609</v>
      </c>
      <c r="AM8" s="93" t="s">
        <v>62</v>
      </c>
    </row>
    <row r="9" spans="1:47" ht="65.25" customHeight="1" x14ac:dyDescent="0.25">
      <c r="A9" s="93" t="s">
        <v>66</v>
      </c>
      <c r="B9" s="93" t="s">
        <v>43</v>
      </c>
      <c r="C9" s="93" t="s">
        <v>87</v>
      </c>
      <c r="D9" s="93"/>
      <c r="E9" s="93" t="s">
        <v>88</v>
      </c>
      <c r="F9" s="123">
        <v>700000</v>
      </c>
      <c r="G9" s="125">
        <f t="shared" ref="G9:G15" si="2">F9/2</f>
        <v>350000</v>
      </c>
      <c r="H9" s="125">
        <f>G9</f>
        <v>350000</v>
      </c>
      <c r="I9" s="97" t="s">
        <v>68</v>
      </c>
      <c r="J9" s="93"/>
      <c r="K9" s="93"/>
      <c r="L9" s="93">
        <v>365</v>
      </c>
      <c r="M9" s="94">
        <f>F9/2</f>
        <v>350000</v>
      </c>
      <c r="N9" s="94">
        <f>M9</f>
        <v>350000</v>
      </c>
      <c r="O9" s="94"/>
      <c r="P9" s="94"/>
      <c r="Q9" s="93" t="s">
        <v>51</v>
      </c>
      <c r="R9" s="93" t="s">
        <v>65</v>
      </c>
      <c r="S9" s="95">
        <v>44287</v>
      </c>
      <c r="T9" s="95">
        <v>44500</v>
      </c>
      <c r="U9" s="124" t="s">
        <v>89</v>
      </c>
      <c r="V9" s="126" t="s">
        <v>59</v>
      </c>
      <c r="W9" s="93" t="s">
        <v>50</v>
      </c>
      <c r="X9" s="93" t="s">
        <v>50</v>
      </c>
      <c r="Y9" s="93" t="s">
        <v>51</v>
      </c>
      <c r="Z9" s="93" t="s">
        <v>51</v>
      </c>
      <c r="AA9" s="93" t="s">
        <v>60</v>
      </c>
      <c r="AB9" s="96" t="s">
        <v>61</v>
      </c>
      <c r="AC9" s="96" t="s">
        <v>61</v>
      </c>
      <c r="AD9" s="96"/>
      <c r="AE9" s="96"/>
      <c r="AF9" s="96"/>
      <c r="AG9" s="96"/>
      <c r="AH9" s="96"/>
      <c r="AI9" s="96" t="s">
        <v>61</v>
      </c>
      <c r="AJ9" s="93"/>
      <c r="AK9" s="93"/>
      <c r="AL9" s="96">
        <f t="shared" si="1"/>
        <v>7.6086956521739131</v>
      </c>
      <c r="AM9" s="93" t="s">
        <v>62</v>
      </c>
    </row>
    <row r="10" spans="1:47" ht="63.75" x14ac:dyDescent="0.25">
      <c r="A10" s="93" t="s">
        <v>66</v>
      </c>
      <c r="B10" s="93" t="s">
        <v>43</v>
      </c>
      <c r="C10" s="93" t="s">
        <v>90</v>
      </c>
      <c r="D10" s="93"/>
      <c r="E10" s="93" t="s">
        <v>91</v>
      </c>
      <c r="F10" s="123">
        <v>980000</v>
      </c>
      <c r="G10" s="125">
        <f t="shared" si="2"/>
        <v>490000</v>
      </c>
      <c r="H10" s="125">
        <f>G10</f>
        <v>490000</v>
      </c>
      <c r="I10" s="97" t="s">
        <v>68</v>
      </c>
      <c r="J10" s="93"/>
      <c r="K10" s="93"/>
      <c r="L10" s="93">
        <v>365</v>
      </c>
      <c r="M10" s="94">
        <f>F10/2</f>
        <v>490000</v>
      </c>
      <c r="N10" s="94">
        <f>M10</f>
        <v>490000</v>
      </c>
      <c r="O10" s="94"/>
      <c r="P10" s="94"/>
      <c r="Q10" s="93" t="s">
        <v>51</v>
      </c>
      <c r="R10" s="93" t="s">
        <v>65</v>
      </c>
      <c r="S10" s="95">
        <v>44287</v>
      </c>
      <c r="T10" s="95">
        <v>44500</v>
      </c>
      <c r="U10" s="124" t="s">
        <v>89</v>
      </c>
      <c r="V10" s="126" t="s">
        <v>59</v>
      </c>
      <c r="W10" s="93" t="s">
        <v>50</v>
      </c>
      <c r="X10" s="93" t="s">
        <v>50</v>
      </c>
      <c r="Y10" s="93" t="s">
        <v>51</v>
      </c>
      <c r="Z10" s="93" t="s">
        <v>51</v>
      </c>
      <c r="AA10" s="93" t="s">
        <v>60</v>
      </c>
      <c r="AB10" s="96" t="s">
        <v>61</v>
      </c>
      <c r="AC10" s="96" t="s">
        <v>61</v>
      </c>
      <c r="AD10" s="96"/>
      <c r="AE10" s="96"/>
      <c r="AF10" s="96"/>
      <c r="AG10" s="96"/>
      <c r="AH10" s="96"/>
      <c r="AI10" s="96" t="s">
        <v>61</v>
      </c>
      <c r="AJ10" s="93"/>
      <c r="AK10" s="93"/>
      <c r="AL10" s="96">
        <f t="shared" si="1"/>
        <v>10.652173913043478</v>
      </c>
      <c r="AM10" s="93" t="s">
        <v>62</v>
      </c>
    </row>
    <row r="11" spans="1:47" ht="72.75" customHeight="1" x14ac:dyDescent="0.25">
      <c r="A11" s="93" t="s">
        <v>66</v>
      </c>
      <c r="B11" s="93" t="s">
        <v>43</v>
      </c>
      <c r="C11" s="93" t="s">
        <v>92</v>
      </c>
      <c r="D11" s="93"/>
      <c r="E11" s="93" t="s">
        <v>93</v>
      </c>
      <c r="F11" s="123">
        <v>700000</v>
      </c>
      <c r="G11" s="125">
        <f t="shared" si="2"/>
        <v>350000</v>
      </c>
      <c r="H11" s="125">
        <f>G11</f>
        <v>350000</v>
      </c>
      <c r="I11" s="97" t="s">
        <v>68</v>
      </c>
      <c r="J11" s="93"/>
      <c r="K11" s="93"/>
      <c r="L11" s="93">
        <v>365</v>
      </c>
      <c r="M11" s="94">
        <f>F11/2</f>
        <v>350000</v>
      </c>
      <c r="N11" s="94">
        <f>M11</f>
        <v>350000</v>
      </c>
      <c r="O11" s="94"/>
      <c r="P11" s="94"/>
      <c r="Q11" s="93" t="s">
        <v>51</v>
      </c>
      <c r="R11" s="93" t="s">
        <v>65</v>
      </c>
      <c r="S11" s="95">
        <v>44287</v>
      </c>
      <c r="T11" s="95">
        <v>44561</v>
      </c>
      <c r="U11" s="124" t="s">
        <v>89</v>
      </c>
      <c r="V11" s="126" t="s">
        <v>59</v>
      </c>
      <c r="W11" s="93" t="s">
        <v>50</v>
      </c>
      <c r="X11" s="93" t="s">
        <v>50</v>
      </c>
      <c r="Y11" s="93" t="s">
        <v>51</v>
      </c>
      <c r="Z11" s="93" t="s">
        <v>51</v>
      </c>
      <c r="AA11" s="93" t="s">
        <v>60</v>
      </c>
      <c r="AB11" s="96" t="s">
        <v>61</v>
      </c>
      <c r="AC11" s="96"/>
      <c r="AD11" s="96"/>
      <c r="AE11" s="96"/>
      <c r="AF11" s="96"/>
      <c r="AG11" s="96"/>
      <c r="AH11" s="96"/>
      <c r="AI11" s="96" t="s">
        <v>61</v>
      </c>
      <c r="AJ11" s="93"/>
      <c r="AK11" s="93"/>
      <c r="AL11" s="96">
        <f t="shared" si="1"/>
        <v>7.6086956521739131</v>
      </c>
      <c r="AM11" s="93" t="s">
        <v>62</v>
      </c>
    </row>
    <row r="12" spans="1:47" ht="63.75" x14ac:dyDescent="0.25">
      <c r="A12" s="93" t="s">
        <v>94</v>
      </c>
      <c r="B12" s="93" t="s">
        <v>43</v>
      </c>
      <c r="C12" s="93" t="s">
        <v>95</v>
      </c>
      <c r="D12" s="93"/>
      <c r="E12" s="93" t="s">
        <v>96</v>
      </c>
      <c r="F12" s="123">
        <v>11500000</v>
      </c>
      <c r="G12" s="125">
        <f t="shared" si="2"/>
        <v>5750000</v>
      </c>
      <c r="H12" s="123">
        <v>5750000</v>
      </c>
      <c r="I12" s="97" t="s">
        <v>68</v>
      </c>
      <c r="J12" s="93"/>
      <c r="K12" s="93"/>
      <c r="L12" s="93">
        <v>180</v>
      </c>
      <c r="M12" s="94">
        <f>F12*0.25</f>
        <v>2875000</v>
      </c>
      <c r="N12" s="94">
        <f>M12</f>
        <v>2875000</v>
      </c>
      <c r="O12" s="94">
        <f>N12</f>
        <v>2875000</v>
      </c>
      <c r="P12" s="94">
        <f>O12</f>
        <v>2875000</v>
      </c>
      <c r="Q12" s="93" t="s">
        <v>51</v>
      </c>
      <c r="R12" s="93" t="s">
        <v>97</v>
      </c>
      <c r="S12" s="95">
        <v>44119</v>
      </c>
      <c r="T12" s="95">
        <f>S12+365*1.5</f>
        <v>44666.5</v>
      </c>
      <c r="U12" s="124" t="s">
        <v>98</v>
      </c>
      <c r="V12" s="126" t="s">
        <v>59</v>
      </c>
      <c r="W12" s="93" t="s">
        <v>50</v>
      </c>
      <c r="X12" s="93" t="s">
        <v>50</v>
      </c>
      <c r="Y12" s="93" t="s">
        <v>51</v>
      </c>
      <c r="Z12" s="93" t="s">
        <v>51</v>
      </c>
      <c r="AA12" s="93" t="s">
        <v>60</v>
      </c>
      <c r="AB12" s="96" t="s">
        <v>53</v>
      </c>
      <c r="AC12" s="96"/>
      <c r="AD12" s="96"/>
      <c r="AE12" s="96"/>
      <c r="AF12" s="96"/>
      <c r="AG12" s="96"/>
      <c r="AH12" s="96"/>
      <c r="AI12" s="96"/>
      <c r="AJ12" s="93"/>
      <c r="AK12" s="93"/>
      <c r="AL12" s="96">
        <f t="shared" si="1"/>
        <v>125</v>
      </c>
      <c r="AM12" s="93" t="s">
        <v>62</v>
      </c>
    </row>
    <row r="13" spans="1:47" ht="63.75" x14ac:dyDescent="0.25">
      <c r="A13" s="93" t="s">
        <v>66</v>
      </c>
      <c r="B13" s="93" t="s">
        <v>43</v>
      </c>
      <c r="C13" s="93" t="s">
        <v>99</v>
      </c>
      <c r="D13" s="93"/>
      <c r="E13" s="93" t="s">
        <v>100</v>
      </c>
      <c r="F13" s="123">
        <v>1600000</v>
      </c>
      <c r="G13" s="125">
        <f t="shared" si="2"/>
        <v>800000</v>
      </c>
      <c r="H13" s="125">
        <f>G13</f>
        <v>800000</v>
      </c>
      <c r="I13" s="97" t="s">
        <v>68</v>
      </c>
      <c r="J13" s="93"/>
      <c r="K13" s="93"/>
      <c r="L13" s="93">
        <v>180</v>
      </c>
      <c r="M13" s="94"/>
      <c r="N13" s="94"/>
      <c r="O13" s="94"/>
      <c r="P13" s="94"/>
      <c r="Q13" s="93" t="s">
        <v>51</v>
      </c>
      <c r="R13" s="93" t="s">
        <v>65</v>
      </c>
      <c r="S13" s="95">
        <v>44119</v>
      </c>
      <c r="T13" s="95">
        <v>44196</v>
      </c>
      <c r="U13" s="124" t="s">
        <v>101</v>
      </c>
      <c r="V13" s="126" t="s">
        <v>59</v>
      </c>
      <c r="W13" s="93" t="s">
        <v>50</v>
      </c>
      <c r="X13" s="93" t="s">
        <v>50</v>
      </c>
      <c r="Y13" s="93" t="s">
        <v>51</v>
      </c>
      <c r="Z13" s="93" t="s">
        <v>51</v>
      </c>
      <c r="AA13" s="93" t="s">
        <v>60</v>
      </c>
      <c r="AB13" s="96" t="s">
        <v>61</v>
      </c>
      <c r="AC13" s="96"/>
      <c r="AD13" s="96"/>
      <c r="AE13" s="96"/>
      <c r="AF13" s="96"/>
      <c r="AG13" s="96"/>
      <c r="AH13" s="96"/>
      <c r="AI13" s="96"/>
      <c r="AJ13" s="93"/>
      <c r="AK13" s="93"/>
      <c r="AL13" s="96">
        <f t="shared" si="1"/>
        <v>17.391304347826086</v>
      </c>
      <c r="AM13" s="93" t="s">
        <v>62</v>
      </c>
    </row>
    <row r="14" spans="1:47" ht="112.5" customHeight="1" x14ac:dyDescent="0.25">
      <c r="A14" s="93" t="s">
        <v>102</v>
      </c>
      <c r="B14" s="93" t="s">
        <v>43</v>
      </c>
      <c r="C14" s="93" t="s">
        <v>103</v>
      </c>
      <c r="D14" s="93"/>
      <c r="E14" s="93" t="s">
        <v>104</v>
      </c>
      <c r="F14" s="123">
        <f>ROUNDUP((10000+23000+100000+75000)*1.1, -4)</f>
        <v>230000</v>
      </c>
      <c r="G14" s="125">
        <f t="shared" si="2"/>
        <v>115000</v>
      </c>
      <c r="H14" s="125">
        <f>G14</f>
        <v>115000</v>
      </c>
      <c r="I14" s="97" t="s">
        <v>68</v>
      </c>
      <c r="J14" s="93"/>
      <c r="K14" s="93"/>
      <c r="L14" s="93">
        <v>90</v>
      </c>
      <c r="M14" s="94">
        <f>F14*0.5</f>
        <v>115000</v>
      </c>
      <c r="N14" s="94">
        <f>F14*0.8</f>
        <v>184000</v>
      </c>
      <c r="O14" s="94">
        <f>F14*0.8</f>
        <v>184000</v>
      </c>
      <c r="P14" s="94">
        <f>F14*0.85</f>
        <v>195500</v>
      </c>
      <c r="Q14" s="93" t="s">
        <v>51</v>
      </c>
      <c r="R14" s="93" t="s">
        <v>105</v>
      </c>
      <c r="S14" s="95">
        <v>44013</v>
      </c>
      <c r="T14" s="95">
        <v>44165</v>
      </c>
      <c r="U14" s="124" t="s">
        <v>106</v>
      </c>
      <c r="V14" s="126" t="s">
        <v>59</v>
      </c>
      <c r="W14" s="93" t="s">
        <v>75</v>
      </c>
      <c r="X14" s="93" t="s">
        <v>50</v>
      </c>
      <c r="Y14" s="93" t="s">
        <v>50</v>
      </c>
      <c r="Z14" s="93" t="s">
        <v>51</v>
      </c>
      <c r="AA14" s="93" t="s">
        <v>76</v>
      </c>
      <c r="AB14" s="96" t="s">
        <v>53</v>
      </c>
      <c r="AC14" s="96" t="s">
        <v>53</v>
      </c>
      <c r="AD14" s="96"/>
      <c r="AE14" s="96"/>
      <c r="AF14" s="96"/>
      <c r="AG14" s="96" t="s">
        <v>53</v>
      </c>
      <c r="AH14" s="96"/>
      <c r="AI14" s="96"/>
      <c r="AJ14" s="93"/>
      <c r="AK14" s="93"/>
      <c r="AL14" s="96">
        <f t="shared" si="1"/>
        <v>2.5</v>
      </c>
      <c r="AM14" s="93" t="s">
        <v>62</v>
      </c>
    </row>
    <row r="15" spans="1:47" ht="63.75" x14ac:dyDescent="0.25">
      <c r="A15" s="93" t="s">
        <v>94</v>
      </c>
      <c r="B15" s="93" t="s">
        <v>43</v>
      </c>
      <c r="C15" s="127" t="s">
        <v>107</v>
      </c>
      <c r="D15" s="93"/>
      <c r="E15" s="93" t="s">
        <v>108</v>
      </c>
      <c r="F15" s="123">
        <v>500000</v>
      </c>
      <c r="G15" s="125">
        <f t="shared" si="2"/>
        <v>250000</v>
      </c>
      <c r="H15" s="125">
        <f>G15</f>
        <v>250000</v>
      </c>
      <c r="I15" s="97" t="s">
        <v>68</v>
      </c>
      <c r="J15" s="93"/>
      <c r="K15" s="93"/>
      <c r="L15" s="93">
        <v>270</v>
      </c>
      <c r="M15" s="94"/>
      <c r="N15" s="94"/>
      <c r="O15" s="94"/>
      <c r="P15" s="94"/>
      <c r="Q15" s="93" t="s">
        <v>51</v>
      </c>
      <c r="R15" s="93" t="s">
        <v>65</v>
      </c>
      <c r="S15" s="95">
        <v>44228</v>
      </c>
      <c r="T15" s="95">
        <v>44287</v>
      </c>
      <c r="U15" s="124" t="s">
        <v>109</v>
      </c>
      <c r="V15" s="126" t="s">
        <v>59</v>
      </c>
      <c r="W15" s="93" t="s">
        <v>50</v>
      </c>
      <c r="X15" s="93" t="s">
        <v>50</v>
      </c>
      <c r="Y15" s="93" t="s">
        <v>51</v>
      </c>
      <c r="Z15" s="93" t="s">
        <v>51</v>
      </c>
      <c r="AA15" s="93" t="s">
        <v>60</v>
      </c>
      <c r="AB15" s="96" t="s">
        <v>61</v>
      </c>
      <c r="AC15" s="96"/>
      <c r="AD15" s="96"/>
      <c r="AE15" s="96"/>
      <c r="AF15" s="96"/>
      <c r="AG15" s="96"/>
      <c r="AH15" s="96"/>
      <c r="AI15" s="96"/>
      <c r="AJ15" s="93"/>
      <c r="AK15" s="93"/>
      <c r="AL15" s="96">
        <f t="shared" si="1"/>
        <v>5.4347826086956523</v>
      </c>
      <c r="AM15" s="93" t="s">
        <v>62</v>
      </c>
    </row>
    <row r="16" spans="1:47" ht="123.75" customHeight="1" x14ac:dyDescent="0.25">
      <c r="A16" s="93" t="s">
        <v>102</v>
      </c>
      <c r="B16" s="93" t="s">
        <v>43</v>
      </c>
      <c r="C16" s="93" t="s">
        <v>110</v>
      </c>
      <c r="D16" s="93"/>
      <c r="E16" s="93" t="s">
        <v>111</v>
      </c>
      <c r="F16" s="123">
        <v>100000</v>
      </c>
      <c r="G16" s="123">
        <v>50000</v>
      </c>
      <c r="H16" s="123">
        <v>50000</v>
      </c>
      <c r="I16" s="97" t="s">
        <v>68</v>
      </c>
      <c r="J16" s="93"/>
      <c r="K16" s="93"/>
      <c r="L16" s="93">
        <v>180</v>
      </c>
      <c r="M16" s="94"/>
      <c r="N16" s="94">
        <v>20000</v>
      </c>
      <c r="O16" s="94">
        <v>100000</v>
      </c>
      <c r="P16" s="94"/>
      <c r="Q16" s="93" t="s">
        <v>112</v>
      </c>
      <c r="R16" s="93" t="s">
        <v>83</v>
      </c>
      <c r="S16" s="95">
        <v>44105</v>
      </c>
      <c r="T16" s="95">
        <v>44165</v>
      </c>
      <c r="U16" s="124" t="s">
        <v>113</v>
      </c>
      <c r="V16" s="124" t="s">
        <v>83</v>
      </c>
      <c r="W16" s="93" t="s">
        <v>75</v>
      </c>
      <c r="X16" s="93" t="s">
        <v>50</v>
      </c>
      <c r="Y16" s="93" t="s">
        <v>50</v>
      </c>
      <c r="Z16" s="93" t="s">
        <v>51</v>
      </c>
      <c r="AA16" s="93" t="s">
        <v>76</v>
      </c>
      <c r="AB16" s="96"/>
      <c r="AC16" s="96"/>
      <c r="AD16" s="96"/>
      <c r="AE16" s="96"/>
      <c r="AF16" s="96"/>
      <c r="AG16" s="96"/>
      <c r="AH16" s="96"/>
      <c r="AI16" s="96"/>
      <c r="AJ16" s="93"/>
      <c r="AK16" s="93"/>
      <c r="AL16" s="96">
        <f t="shared" si="1"/>
        <v>1.0869565217391304</v>
      </c>
      <c r="AM16" s="93" t="s">
        <v>62</v>
      </c>
    </row>
    <row r="17" spans="1:39" ht="123.75" customHeight="1" x14ac:dyDescent="0.25">
      <c r="A17" s="93" t="s">
        <v>102</v>
      </c>
      <c r="B17" s="93" t="s">
        <v>114</v>
      </c>
      <c r="C17" s="93" t="s">
        <v>115</v>
      </c>
      <c r="D17" s="93"/>
      <c r="E17" s="93" t="s">
        <v>116</v>
      </c>
      <c r="F17" s="123">
        <v>100000</v>
      </c>
      <c r="G17" s="123">
        <v>50000</v>
      </c>
      <c r="H17" s="123">
        <v>50000</v>
      </c>
      <c r="I17" s="97" t="s">
        <v>68</v>
      </c>
      <c r="J17" s="93"/>
      <c r="K17" s="93"/>
      <c r="L17" s="93" t="s">
        <v>117</v>
      </c>
      <c r="M17" s="94">
        <v>50000</v>
      </c>
      <c r="N17" s="94">
        <v>100000</v>
      </c>
      <c r="O17" s="94"/>
      <c r="P17" s="94"/>
      <c r="Q17" s="93" t="s">
        <v>118</v>
      </c>
      <c r="R17" s="93"/>
      <c r="S17" s="95">
        <v>44013</v>
      </c>
      <c r="T17" s="95">
        <v>44043</v>
      </c>
      <c r="U17" s="124" t="s">
        <v>119</v>
      </c>
      <c r="V17" s="124" t="s">
        <v>120</v>
      </c>
      <c r="W17" s="93" t="s">
        <v>50</v>
      </c>
      <c r="X17" s="93" t="s">
        <v>50</v>
      </c>
      <c r="Y17" s="93" t="s">
        <v>51</v>
      </c>
      <c r="Z17" s="93" t="s">
        <v>51</v>
      </c>
      <c r="AA17" s="93" t="s">
        <v>121</v>
      </c>
      <c r="AB17" s="96" t="s">
        <v>53</v>
      </c>
      <c r="AC17" s="96"/>
      <c r="AD17" s="96"/>
      <c r="AE17" s="96"/>
      <c r="AF17" s="96"/>
      <c r="AG17" s="96"/>
      <c r="AH17" s="96"/>
      <c r="AI17" s="96"/>
      <c r="AJ17" s="93" t="s">
        <v>121</v>
      </c>
      <c r="AK17" s="93"/>
      <c r="AL17" s="96">
        <f t="shared" si="1"/>
        <v>1.0869565217391304</v>
      </c>
      <c r="AM17" s="93" t="s">
        <v>62</v>
      </c>
    </row>
    <row r="18" spans="1:39" ht="76.5" x14ac:dyDescent="0.25">
      <c r="A18" s="93" t="s">
        <v>102</v>
      </c>
      <c r="B18" s="93" t="s">
        <v>43</v>
      </c>
      <c r="C18" s="93" t="s">
        <v>122</v>
      </c>
      <c r="D18" s="93"/>
      <c r="E18" s="93" t="s">
        <v>123</v>
      </c>
      <c r="F18" s="123">
        <v>240000</v>
      </c>
      <c r="G18" s="123">
        <v>120000</v>
      </c>
      <c r="H18" s="123">
        <v>120000</v>
      </c>
      <c r="I18" s="97" t="s">
        <v>68</v>
      </c>
      <c r="J18" s="93"/>
      <c r="K18" s="93"/>
      <c r="L18" s="93" t="s">
        <v>117</v>
      </c>
      <c r="M18" s="94">
        <v>25000</v>
      </c>
      <c r="N18" s="94">
        <v>50000</v>
      </c>
      <c r="O18" s="94"/>
      <c r="P18" s="94">
        <v>50000</v>
      </c>
      <c r="Q18" s="93" t="s">
        <v>118</v>
      </c>
      <c r="R18" s="93" t="s">
        <v>83</v>
      </c>
      <c r="S18" s="95">
        <v>44013</v>
      </c>
      <c r="T18" s="95">
        <v>45657</v>
      </c>
      <c r="U18" s="124" t="s">
        <v>124</v>
      </c>
      <c r="V18" s="124"/>
      <c r="W18" s="93" t="s">
        <v>51</v>
      </c>
      <c r="X18" s="93" t="s">
        <v>51</v>
      </c>
      <c r="Y18" s="93" t="s">
        <v>51</v>
      </c>
      <c r="Z18" s="93" t="s">
        <v>51</v>
      </c>
      <c r="AA18" s="93"/>
      <c r="AB18" s="96" t="s">
        <v>53</v>
      </c>
      <c r="AC18" s="96"/>
      <c r="AD18" s="96"/>
      <c r="AE18" s="96"/>
      <c r="AF18" s="96"/>
      <c r="AG18" s="96"/>
      <c r="AH18" s="96"/>
      <c r="AI18" s="96"/>
      <c r="AJ18" s="93"/>
      <c r="AK18" s="93"/>
      <c r="AL18" s="96">
        <f t="shared" si="1"/>
        <v>2.6086956521739131</v>
      </c>
      <c r="AM18" s="93" t="s">
        <v>62</v>
      </c>
    </row>
    <row r="19" spans="1:39" ht="71.25" customHeight="1" x14ac:dyDescent="0.25">
      <c r="A19" s="116" t="s">
        <v>42</v>
      </c>
      <c r="B19" s="117" t="s">
        <v>43</v>
      </c>
      <c r="C19" s="117" t="s">
        <v>125</v>
      </c>
      <c r="D19" s="262" t="s">
        <v>678</v>
      </c>
      <c r="E19" s="117" t="s">
        <v>126</v>
      </c>
      <c r="F19" s="128">
        <v>5000000</v>
      </c>
      <c r="G19" s="128">
        <f t="shared" ref="G19:G30" si="3">0.5*F19</f>
        <v>2500000</v>
      </c>
      <c r="H19" s="128">
        <f t="shared" ref="H19:H30" si="4">G19</f>
        <v>2500000</v>
      </c>
      <c r="I19" s="116"/>
      <c r="J19" s="117" t="s">
        <v>127</v>
      </c>
      <c r="K19" s="116"/>
      <c r="L19" s="116">
        <v>365</v>
      </c>
      <c r="M19" s="129"/>
      <c r="N19" s="129"/>
      <c r="O19" s="130">
        <v>750000</v>
      </c>
      <c r="P19" s="130">
        <v>2500000</v>
      </c>
      <c r="Q19" s="116" t="s">
        <v>64</v>
      </c>
      <c r="R19" s="116" t="s">
        <v>128</v>
      </c>
      <c r="S19" s="131">
        <v>44256</v>
      </c>
      <c r="T19" s="131">
        <v>44621</v>
      </c>
      <c r="U19" s="121" t="s">
        <v>129</v>
      </c>
      <c r="V19" s="121" t="s">
        <v>130</v>
      </c>
      <c r="W19" s="116" t="s">
        <v>131</v>
      </c>
      <c r="X19" s="116" t="s">
        <v>131</v>
      </c>
      <c r="Y19" s="116" t="s">
        <v>131</v>
      </c>
      <c r="Z19" s="116" t="s">
        <v>131</v>
      </c>
      <c r="AA19" s="117" t="s">
        <v>52</v>
      </c>
      <c r="AB19" s="122" t="s">
        <v>53</v>
      </c>
      <c r="AC19" s="122" t="s">
        <v>53</v>
      </c>
      <c r="AD19" s="122"/>
      <c r="AE19" s="122" t="s">
        <v>53</v>
      </c>
      <c r="AF19" s="122" t="s">
        <v>53</v>
      </c>
      <c r="AG19" s="122"/>
      <c r="AH19" s="122"/>
      <c r="AI19" s="122" t="s">
        <v>53</v>
      </c>
      <c r="AJ19" s="117" t="s">
        <v>52</v>
      </c>
      <c r="AK19" s="116"/>
      <c r="AL19" s="122">
        <f t="shared" si="1"/>
        <v>54.347826086956523</v>
      </c>
      <c r="AM19" s="117" t="s">
        <v>132</v>
      </c>
    </row>
    <row r="20" spans="1:39" ht="70.5" customHeight="1" x14ac:dyDescent="0.25">
      <c r="A20" s="97" t="s">
        <v>42</v>
      </c>
      <c r="B20" s="93" t="s">
        <v>43</v>
      </c>
      <c r="C20" s="93" t="s">
        <v>133</v>
      </c>
      <c r="D20" s="263" t="s">
        <v>679</v>
      </c>
      <c r="E20" s="93" t="s">
        <v>134</v>
      </c>
      <c r="F20" s="132">
        <v>5000000</v>
      </c>
      <c r="G20" s="132">
        <f t="shared" si="3"/>
        <v>2500000</v>
      </c>
      <c r="H20" s="132">
        <f t="shared" si="4"/>
        <v>2500000</v>
      </c>
      <c r="I20" s="93" t="s">
        <v>135</v>
      </c>
      <c r="J20" s="97"/>
      <c r="K20" s="97"/>
      <c r="L20" s="97">
        <v>365</v>
      </c>
      <c r="M20" s="99"/>
      <c r="N20" s="99"/>
      <c r="O20" s="98">
        <v>750000</v>
      </c>
      <c r="P20" s="98">
        <v>2500000</v>
      </c>
      <c r="Q20" s="97" t="s">
        <v>64</v>
      </c>
      <c r="R20" s="97" t="s">
        <v>136</v>
      </c>
      <c r="S20" s="100">
        <v>44317</v>
      </c>
      <c r="T20" s="100">
        <v>44682</v>
      </c>
      <c r="U20" s="124" t="s">
        <v>137</v>
      </c>
      <c r="V20" s="124" t="s">
        <v>138</v>
      </c>
      <c r="W20" s="97" t="s">
        <v>64</v>
      </c>
      <c r="X20" s="97" t="s">
        <v>131</v>
      </c>
      <c r="Y20" s="97" t="s">
        <v>64</v>
      </c>
      <c r="Z20" s="97" t="s">
        <v>64</v>
      </c>
      <c r="AA20" s="93" t="s">
        <v>52</v>
      </c>
      <c r="AB20" s="96"/>
      <c r="AC20" s="96"/>
      <c r="AD20" s="96" t="s">
        <v>53</v>
      </c>
      <c r="AE20" s="96"/>
      <c r="AF20" s="96"/>
      <c r="AG20" s="96"/>
      <c r="AH20" s="96"/>
      <c r="AI20" s="96"/>
      <c r="AJ20" s="93" t="s">
        <v>52</v>
      </c>
      <c r="AK20" s="97"/>
      <c r="AL20" s="96">
        <f t="shared" si="1"/>
        <v>54.347826086956523</v>
      </c>
      <c r="AM20" s="93" t="s">
        <v>132</v>
      </c>
    </row>
    <row r="21" spans="1:39" ht="83.25" customHeight="1" x14ac:dyDescent="0.25">
      <c r="A21" s="97" t="s">
        <v>55</v>
      </c>
      <c r="B21" s="93" t="s">
        <v>43</v>
      </c>
      <c r="C21" s="93" t="s">
        <v>139</v>
      </c>
      <c r="D21" s="263" t="s">
        <v>679</v>
      </c>
      <c r="E21" s="93" t="s">
        <v>140</v>
      </c>
      <c r="F21" s="132">
        <v>4000000</v>
      </c>
      <c r="G21" s="132">
        <f t="shared" si="3"/>
        <v>2000000</v>
      </c>
      <c r="H21" s="132">
        <f t="shared" si="4"/>
        <v>2000000</v>
      </c>
      <c r="I21" s="93" t="s">
        <v>135</v>
      </c>
      <c r="J21" s="97"/>
      <c r="K21" s="97"/>
      <c r="L21" s="97">
        <v>365</v>
      </c>
      <c r="M21" s="99"/>
      <c r="N21" s="99"/>
      <c r="O21" s="98">
        <v>600000</v>
      </c>
      <c r="P21" s="98">
        <v>2000000</v>
      </c>
      <c r="Q21" s="97" t="s">
        <v>64</v>
      </c>
      <c r="R21" s="97" t="s">
        <v>136</v>
      </c>
      <c r="S21" s="100">
        <v>44317</v>
      </c>
      <c r="T21" s="100">
        <v>44593</v>
      </c>
      <c r="U21" s="124" t="s">
        <v>137</v>
      </c>
      <c r="V21" s="124" t="s">
        <v>138</v>
      </c>
      <c r="W21" s="97" t="s">
        <v>64</v>
      </c>
      <c r="X21" s="97" t="s">
        <v>64</v>
      </c>
      <c r="Y21" s="97" t="s">
        <v>64</v>
      </c>
      <c r="Z21" s="97" t="s">
        <v>64</v>
      </c>
      <c r="AA21" s="93"/>
      <c r="AB21" s="96"/>
      <c r="AC21" s="96"/>
      <c r="AD21" s="96" t="s">
        <v>53</v>
      </c>
      <c r="AE21" s="96"/>
      <c r="AF21" s="96"/>
      <c r="AG21" s="96"/>
      <c r="AH21" s="96"/>
      <c r="AI21" s="96"/>
      <c r="AJ21" s="93" t="s">
        <v>52</v>
      </c>
      <c r="AK21" s="97"/>
      <c r="AL21" s="96">
        <f t="shared" si="1"/>
        <v>43.478260869565219</v>
      </c>
      <c r="AM21" s="93" t="s">
        <v>132</v>
      </c>
    </row>
    <row r="22" spans="1:39" ht="82.5" customHeight="1" x14ac:dyDescent="0.25">
      <c r="A22" s="97" t="s">
        <v>55</v>
      </c>
      <c r="B22" s="93" t="s">
        <v>43</v>
      </c>
      <c r="C22" s="93" t="s">
        <v>141</v>
      </c>
      <c r="D22" s="263" t="s">
        <v>680</v>
      </c>
      <c r="E22" s="93" t="s">
        <v>142</v>
      </c>
      <c r="F22" s="132">
        <v>3000000</v>
      </c>
      <c r="G22" s="132">
        <f t="shared" si="3"/>
        <v>1500000</v>
      </c>
      <c r="H22" s="132">
        <f t="shared" si="4"/>
        <v>1500000</v>
      </c>
      <c r="I22" s="93" t="s">
        <v>135</v>
      </c>
      <c r="J22" s="97"/>
      <c r="K22" s="97"/>
      <c r="L22" s="97">
        <v>365</v>
      </c>
      <c r="M22" s="99"/>
      <c r="N22" s="99"/>
      <c r="O22" s="98">
        <v>450000</v>
      </c>
      <c r="P22" s="98">
        <v>1500000</v>
      </c>
      <c r="Q22" s="97" t="s">
        <v>64</v>
      </c>
      <c r="R22" s="97" t="s">
        <v>136</v>
      </c>
      <c r="S22" s="100">
        <v>44317</v>
      </c>
      <c r="T22" s="100">
        <v>44682</v>
      </c>
      <c r="U22" s="124" t="s">
        <v>137</v>
      </c>
      <c r="V22" s="124" t="s">
        <v>138</v>
      </c>
      <c r="W22" s="97" t="s">
        <v>64</v>
      </c>
      <c r="X22" s="97" t="s">
        <v>64</v>
      </c>
      <c r="Y22" s="97" t="s">
        <v>64</v>
      </c>
      <c r="Z22" s="97" t="s">
        <v>64</v>
      </c>
      <c r="AA22" s="93"/>
      <c r="AB22" s="96"/>
      <c r="AC22" s="96"/>
      <c r="AD22" s="96" t="s">
        <v>53</v>
      </c>
      <c r="AE22" s="96"/>
      <c r="AF22" s="96"/>
      <c r="AG22" s="96"/>
      <c r="AH22" s="96"/>
      <c r="AI22" s="96"/>
      <c r="AJ22" s="93" t="s">
        <v>52</v>
      </c>
      <c r="AK22" s="97"/>
      <c r="AL22" s="96">
        <f t="shared" si="1"/>
        <v>32.608695652173914</v>
      </c>
      <c r="AM22" s="93" t="s">
        <v>132</v>
      </c>
    </row>
    <row r="23" spans="1:39" ht="77.25" customHeight="1" x14ac:dyDescent="0.25">
      <c r="A23" s="97" t="s">
        <v>55</v>
      </c>
      <c r="B23" s="93" t="s">
        <v>43</v>
      </c>
      <c r="C23" s="93" t="s">
        <v>143</v>
      </c>
      <c r="D23" s="263" t="s">
        <v>680</v>
      </c>
      <c r="E23" s="93" t="s">
        <v>144</v>
      </c>
      <c r="F23" s="132">
        <v>10000000</v>
      </c>
      <c r="G23" s="132">
        <f t="shared" si="3"/>
        <v>5000000</v>
      </c>
      <c r="H23" s="132">
        <f t="shared" si="4"/>
        <v>5000000</v>
      </c>
      <c r="I23" s="93" t="s">
        <v>135</v>
      </c>
      <c r="J23" s="97"/>
      <c r="K23" s="97"/>
      <c r="L23" s="97">
        <v>365</v>
      </c>
      <c r="M23" s="99"/>
      <c r="N23" s="99"/>
      <c r="O23" s="98">
        <v>1500000</v>
      </c>
      <c r="P23" s="98">
        <v>5000000</v>
      </c>
      <c r="Q23" s="97" t="s">
        <v>64</v>
      </c>
      <c r="R23" s="97" t="s">
        <v>136</v>
      </c>
      <c r="S23" s="100">
        <v>44317</v>
      </c>
      <c r="T23" s="100">
        <v>44682</v>
      </c>
      <c r="U23" s="124" t="s">
        <v>137</v>
      </c>
      <c r="V23" s="124" t="s">
        <v>138</v>
      </c>
      <c r="W23" s="97" t="s">
        <v>64</v>
      </c>
      <c r="X23" s="97" t="s">
        <v>64</v>
      </c>
      <c r="Y23" s="97" t="s">
        <v>64</v>
      </c>
      <c r="Z23" s="97" t="s">
        <v>64</v>
      </c>
      <c r="AA23" s="93"/>
      <c r="AB23" s="96"/>
      <c r="AC23" s="96"/>
      <c r="AD23" s="96" t="s">
        <v>53</v>
      </c>
      <c r="AE23" s="96"/>
      <c r="AF23" s="96"/>
      <c r="AG23" s="96"/>
      <c r="AH23" s="96"/>
      <c r="AI23" s="96"/>
      <c r="AJ23" s="93" t="s">
        <v>52</v>
      </c>
      <c r="AK23" s="97"/>
      <c r="AL23" s="96">
        <f t="shared" si="1"/>
        <v>108.69565217391305</v>
      </c>
      <c r="AM23" s="93" t="s">
        <v>132</v>
      </c>
    </row>
    <row r="24" spans="1:39" ht="76.5" x14ac:dyDescent="0.25">
      <c r="A24" s="97" t="s">
        <v>63</v>
      </c>
      <c r="B24" s="93" t="s">
        <v>43</v>
      </c>
      <c r="C24" s="93" t="s">
        <v>145</v>
      </c>
      <c r="D24" s="263" t="s">
        <v>679</v>
      </c>
      <c r="E24" s="93" t="s">
        <v>146</v>
      </c>
      <c r="F24" s="132">
        <v>6000000</v>
      </c>
      <c r="G24" s="132">
        <f t="shared" si="3"/>
        <v>3000000</v>
      </c>
      <c r="H24" s="132">
        <f t="shared" si="4"/>
        <v>3000000</v>
      </c>
      <c r="I24" s="93" t="s">
        <v>135</v>
      </c>
      <c r="J24" s="97"/>
      <c r="K24" s="97"/>
      <c r="L24" s="97">
        <v>365</v>
      </c>
      <c r="M24" s="99"/>
      <c r="N24" s="99"/>
      <c r="O24" s="98">
        <v>900000</v>
      </c>
      <c r="P24" s="98">
        <v>3000000</v>
      </c>
      <c r="Q24" s="97" t="s">
        <v>64</v>
      </c>
      <c r="R24" s="97" t="s">
        <v>136</v>
      </c>
      <c r="S24" s="100">
        <v>44317</v>
      </c>
      <c r="T24" s="100">
        <v>44682</v>
      </c>
      <c r="U24" s="124" t="s">
        <v>137</v>
      </c>
      <c r="V24" s="124" t="s">
        <v>138</v>
      </c>
      <c r="W24" s="97" t="s">
        <v>64</v>
      </c>
      <c r="X24" s="97" t="s">
        <v>64</v>
      </c>
      <c r="Y24" s="97" t="s">
        <v>64</v>
      </c>
      <c r="Z24" s="97" t="s">
        <v>64</v>
      </c>
      <c r="AA24" s="93"/>
      <c r="AB24" s="96"/>
      <c r="AC24" s="96"/>
      <c r="AD24" s="96" t="s">
        <v>53</v>
      </c>
      <c r="AE24" s="96"/>
      <c r="AF24" s="96"/>
      <c r="AG24" s="96"/>
      <c r="AH24" s="96"/>
      <c r="AI24" s="96"/>
      <c r="AJ24" s="93" t="s">
        <v>52</v>
      </c>
      <c r="AK24" s="97"/>
      <c r="AL24" s="96">
        <f t="shared" si="1"/>
        <v>65.217391304347828</v>
      </c>
      <c r="AM24" s="93" t="s">
        <v>132</v>
      </c>
    </row>
    <row r="25" spans="1:39" ht="76.5" x14ac:dyDescent="0.25">
      <c r="A25" s="97" t="s">
        <v>69</v>
      </c>
      <c r="B25" s="93" t="s">
        <v>43</v>
      </c>
      <c r="C25" s="93" t="s">
        <v>147</v>
      </c>
      <c r="D25" s="263" t="s">
        <v>679</v>
      </c>
      <c r="E25" s="93" t="s">
        <v>148</v>
      </c>
      <c r="F25" s="132">
        <v>9000000</v>
      </c>
      <c r="G25" s="132">
        <f t="shared" si="3"/>
        <v>4500000</v>
      </c>
      <c r="H25" s="132">
        <f t="shared" si="4"/>
        <v>4500000</v>
      </c>
      <c r="I25" s="93" t="s">
        <v>135</v>
      </c>
      <c r="J25" s="97"/>
      <c r="K25" s="97"/>
      <c r="L25" s="97">
        <v>365</v>
      </c>
      <c r="M25" s="99"/>
      <c r="N25" s="99"/>
      <c r="O25" s="98">
        <v>1350000</v>
      </c>
      <c r="P25" s="98">
        <v>4500000</v>
      </c>
      <c r="Q25" s="97" t="s">
        <v>64</v>
      </c>
      <c r="R25" s="97" t="s">
        <v>136</v>
      </c>
      <c r="S25" s="100">
        <v>44348</v>
      </c>
      <c r="T25" s="100">
        <v>44713</v>
      </c>
      <c r="U25" s="124" t="s">
        <v>137</v>
      </c>
      <c r="V25" s="124" t="s">
        <v>138</v>
      </c>
      <c r="W25" s="97" t="s">
        <v>64</v>
      </c>
      <c r="X25" s="97" t="s">
        <v>64</v>
      </c>
      <c r="Y25" s="97" t="s">
        <v>131</v>
      </c>
      <c r="Z25" s="97" t="s">
        <v>64</v>
      </c>
      <c r="AA25" s="93" t="s">
        <v>52</v>
      </c>
      <c r="AB25" s="96"/>
      <c r="AC25" s="96"/>
      <c r="AD25" s="96" t="s">
        <v>53</v>
      </c>
      <c r="AE25" s="96"/>
      <c r="AF25" s="96"/>
      <c r="AG25" s="96"/>
      <c r="AH25" s="96"/>
      <c r="AI25" s="96"/>
      <c r="AJ25" s="93" t="s">
        <v>52</v>
      </c>
      <c r="AK25" s="97"/>
      <c r="AL25" s="96">
        <f t="shared" si="1"/>
        <v>97.826086956521735</v>
      </c>
      <c r="AM25" s="93" t="s">
        <v>132</v>
      </c>
    </row>
    <row r="26" spans="1:39" ht="89.25" x14ac:dyDescent="0.25">
      <c r="A26" s="97" t="s">
        <v>66</v>
      </c>
      <c r="B26" s="93" t="s">
        <v>43</v>
      </c>
      <c r="C26" s="93" t="s">
        <v>149</v>
      </c>
      <c r="D26" s="263" t="s">
        <v>679</v>
      </c>
      <c r="E26" s="93" t="s">
        <v>150</v>
      </c>
      <c r="F26" s="132">
        <v>4573000</v>
      </c>
      <c r="G26" s="132">
        <f t="shared" si="3"/>
        <v>2286500</v>
      </c>
      <c r="H26" s="132">
        <f t="shared" si="4"/>
        <v>2286500</v>
      </c>
      <c r="I26" s="93" t="s">
        <v>135</v>
      </c>
      <c r="J26" s="97"/>
      <c r="K26" s="97"/>
      <c r="L26" s="97">
        <v>365</v>
      </c>
      <c r="M26" s="99"/>
      <c r="N26" s="99"/>
      <c r="O26" s="98">
        <v>685950</v>
      </c>
      <c r="P26" s="98">
        <v>2286500</v>
      </c>
      <c r="Q26" s="97" t="s">
        <v>64</v>
      </c>
      <c r="R26" s="97" t="s">
        <v>136</v>
      </c>
      <c r="S26" s="100">
        <v>44317</v>
      </c>
      <c r="T26" s="100">
        <v>44682</v>
      </c>
      <c r="U26" s="124" t="s">
        <v>137</v>
      </c>
      <c r="V26" s="124" t="s">
        <v>138</v>
      </c>
      <c r="W26" s="97" t="s">
        <v>64</v>
      </c>
      <c r="X26" s="97" t="s">
        <v>64</v>
      </c>
      <c r="Y26" s="97" t="s">
        <v>64</v>
      </c>
      <c r="Z26" s="97" t="s">
        <v>64</v>
      </c>
      <c r="AA26" s="93"/>
      <c r="AB26" s="96"/>
      <c r="AC26" s="96"/>
      <c r="AD26" s="96" t="s">
        <v>53</v>
      </c>
      <c r="AE26" s="96"/>
      <c r="AF26" s="96"/>
      <c r="AG26" s="96"/>
      <c r="AH26" s="96"/>
      <c r="AI26" s="96"/>
      <c r="AJ26" s="93" t="s">
        <v>52</v>
      </c>
      <c r="AK26" s="97"/>
      <c r="AL26" s="96">
        <f t="shared" si="1"/>
        <v>49.706521739130437</v>
      </c>
      <c r="AM26" s="93" t="s">
        <v>132</v>
      </c>
    </row>
    <row r="27" spans="1:39" ht="76.5" x14ac:dyDescent="0.25">
      <c r="A27" s="97" t="s">
        <v>77</v>
      </c>
      <c r="B27" s="93" t="s">
        <v>43</v>
      </c>
      <c r="C27" s="93" t="s">
        <v>151</v>
      </c>
      <c r="D27" s="263" t="s">
        <v>679</v>
      </c>
      <c r="E27" s="93" t="s">
        <v>152</v>
      </c>
      <c r="F27" s="132">
        <v>4000000</v>
      </c>
      <c r="G27" s="132">
        <f t="shared" si="3"/>
        <v>2000000</v>
      </c>
      <c r="H27" s="132">
        <f t="shared" si="4"/>
        <v>2000000</v>
      </c>
      <c r="I27" s="93" t="s">
        <v>135</v>
      </c>
      <c r="J27" s="97"/>
      <c r="K27" s="97"/>
      <c r="L27" s="97">
        <v>365</v>
      </c>
      <c r="M27" s="99"/>
      <c r="N27" s="99"/>
      <c r="O27" s="98">
        <v>600000</v>
      </c>
      <c r="P27" s="98">
        <v>2000000</v>
      </c>
      <c r="Q27" s="97" t="s">
        <v>64</v>
      </c>
      <c r="R27" s="97" t="s">
        <v>136</v>
      </c>
      <c r="S27" s="100">
        <v>44317</v>
      </c>
      <c r="T27" s="100">
        <v>44682</v>
      </c>
      <c r="U27" s="124" t="s">
        <v>137</v>
      </c>
      <c r="V27" s="124" t="s">
        <v>138</v>
      </c>
      <c r="W27" s="97" t="s">
        <v>64</v>
      </c>
      <c r="X27" s="97" t="s">
        <v>64</v>
      </c>
      <c r="Y27" s="97" t="s">
        <v>64</v>
      </c>
      <c r="Z27" s="97" t="s">
        <v>64</v>
      </c>
      <c r="AA27" s="93"/>
      <c r="AB27" s="96"/>
      <c r="AC27" s="96"/>
      <c r="AD27" s="96" t="s">
        <v>53</v>
      </c>
      <c r="AE27" s="96"/>
      <c r="AF27" s="96"/>
      <c r="AG27" s="96"/>
      <c r="AH27" s="96"/>
      <c r="AI27" s="96"/>
      <c r="AJ27" s="93" t="s">
        <v>52</v>
      </c>
      <c r="AK27" s="97"/>
      <c r="AL27" s="96">
        <f t="shared" si="1"/>
        <v>43.478260869565219</v>
      </c>
      <c r="AM27" s="93" t="s">
        <v>132</v>
      </c>
    </row>
    <row r="28" spans="1:39" ht="72" customHeight="1" x14ac:dyDescent="0.25">
      <c r="A28" s="97" t="s">
        <v>77</v>
      </c>
      <c r="B28" s="93" t="s">
        <v>43</v>
      </c>
      <c r="C28" s="93" t="s">
        <v>153</v>
      </c>
      <c r="D28" s="263" t="s">
        <v>679</v>
      </c>
      <c r="E28" s="93" t="s">
        <v>154</v>
      </c>
      <c r="F28" s="132">
        <f>2882000+5991000</f>
        <v>8873000</v>
      </c>
      <c r="G28" s="132">
        <f t="shared" si="3"/>
        <v>4436500</v>
      </c>
      <c r="H28" s="132">
        <f t="shared" si="4"/>
        <v>4436500</v>
      </c>
      <c r="I28" s="93" t="s">
        <v>135</v>
      </c>
      <c r="J28" s="97"/>
      <c r="K28" s="97"/>
      <c r="L28" s="97">
        <v>365</v>
      </c>
      <c r="M28" s="99"/>
      <c r="N28" s="99"/>
      <c r="O28" s="98">
        <v>1330950</v>
      </c>
      <c r="P28" s="98">
        <v>4436500</v>
      </c>
      <c r="Q28" s="97" t="s">
        <v>64</v>
      </c>
      <c r="R28" s="97" t="s">
        <v>136</v>
      </c>
      <c r="S28" s="100">
        <v>44317</v>
      </c>
      <c r="T28" s="100">
        <v>44682</v>
      </c>
      <c r="U28" s="124" t="s">
        <v>137</v>
      </c>
      <c r="V28" s="124" t="s">
        <v>138</v>
      </c>
      <c r="W28" s="97" t="s">
        <v>64</v>
      </c>
      <c r="X28" s="97" t="s">
        <v>64</v>
      </c>
      <c r="Y28" s="97" t="s">
        <v>64</v>
      </c>
      <c r="Z28" s="97" t="s">
        <v>64</v>
      </c>
      <c r="AA28" s="93"/>
      <c r="AB28" s="96"/>
      <c r="AC28" s="96"/>
      <c r="AD28" s="96" t="s">
        <v>53</v>
      </c>
      <c r="AE28" s="96"/>
      <c r="AF28" s="96"/>
      <c r="AG28" s="96"/>
      <c r="AH28" s="96"/>
      <c r="AI28" s="96"/>
      <c r="AJ28" s="93" t="s">
        <v>52</v>
      </c>
      <c r="AK28" s="97"/>
      <c r="AL28" s="96">
        <f t="shared" si="1"/>
        <v>96.445652173913047</v>
      </c>
      <c r="AM28" s="93" t="s">
        <v>132</v>
      </c>
    </row>
    <row r="29" spans="1:39" ht="76.5" x14ac:dyDescent="0.25">
      <c r="A29" s="97" t="s">
        <v>102</v>
      </c>
      <c r="B29" s="93" t="s">
        <v>43</v>
      </c>
      <c r="C29" s="93" t="s">
        <v>155</v>
      </c>
      <c r="D29" s="263" t="s">
        <v>679</v>
      </c>
      <c r="E29" s="93" t="s">
        <v>156</v>
      </c>
      <c r="F29" s="132">
        <v>311000</v>
      </c>
      <c r="G29" s="132">
        <f t="shared" si="3"/>
        <v>155500</v>
      </c>
      <c r="H29" s="132">
        <f t="shared" si="4"/>
        <v>155500</v>
      </c>
      <c r="I29" s="93" t="s">
        <v>135</v>
      </c>
      <c r="J29" s="97"/>
      <c r="K29" s="97"/>
      <c r="L29" s="97">
        <v>365</v>
      </c>
      <c r="M29" s="99"/>
      <c r="N29" s="99"/>
      <c r="O29" s="98">
        <v>46650</v>
      </c>
      <c r="P29" s="98">
        <v>155500</v>
      </c>
      <c r="Q29" s="97" t="s">
        <v>64</v>
      </c>
      <c r="R29" s="97" t="s">
        <v>136</v>
      </c>
      <c r="S29" s="100">
        <v>44317</v>
      </c>
      <c r="T29" s="100">
        <v>44531</v>
      </c>
      <c r="U29" s="124" t="s">
        <v>137</v>
      </c>
      <c r="V29" s="124" t="s">
        <v>138</v>
      </c>
      <c r="W29" s="97" t="s">
        <v>64</v>
      </c>
      <c r="X29" s="97" t="s">
        <v>131</v>
      </c>
      <c r="Y29" s="97" t="s">
        <v>64</v>
      </c>
      <c r="Z29" s="97" t="s">
        <v>64</v>
      </c>
      <c r="AA29" s="93" t="s">
        <v>52</v>
      </c>
      <c r="AB29" s="96"/>
      <c r="AC29" s="96"/>
      <c r="AD29" s="96" t="s">
        <v>53</v>
      </c>
      <c r="AE29" s="96"/>
      <c r="AF29" s="96"/>
      <c r="AG29" s="96"/>
      <c r="AH29" s="96"/>
      <c r="AI29" s="96"/>
      <c r="AJ29" s="93" t="s">
        <v>52</v>
      </c>
      <c r="AK29" s="97"/>
      <c r="AL29" s="96">
        <f t="shared" si="1"/>
        <v>3.3804347826086958</v>
      </c>
      <c r="AM29" s="93" t="s">
        <v>132</v>
      </c>
    </row>
    <row r="30" spans="1:39" ht="77.25" thickBot="1" x14ac:dyDescent="0.3">
      <c r="A30" s="133" t="s">
        <v>94</v>
      </c>
      <c r="B30" s="134" t="s">
        <v>43</v>
      </c>
      <c r="C30" s="134" t="s">
        <v>157</v>
      </c>
      <c r="D30" s="264" t="s">
        <v>679</v>
      </c>
      <c r="E30" s="134" t="s">
        <v>158</v>
      </c>
      <c r="F30" s="135">
        <v>2283000</v>
      </c>
      <c r="G30" s="135">
        <f t="shared" si="3"/>
        <v>1141500</v>
      </c>
      <c r="H30" s="135">
        <f t="shared" si="4"/>
        <v>1141500</v>
      </c>
      <c r="I30" s="134" t="s">
        <v>135</v>
      </c>
      <c r="J30" s="133"/>
      <c r="K30" s="133"/>
      <c r="L30" s="133">
        <v>365</v>
      </c>
      <c r="M30" s="136"/>
      <c r="N30" s="136"/>
      <c r="O30" s="137">
        <v>342450</v>
      </c>
      <c r="P30" s="137">
        <v>1141500</v>
      </c>
      <c r="Q30" s="133" t="s">
        <v>64</v>
      </c>
      <c r="R30" s="133" t="s">
        <v>136</v>
      </c>
      <c r="S30" s="138">
        <v>44317</v>
      </c>
      <c r="T30" s="138">
        <v>44682</v>
      </c>
      <c r="U30" s="139" t="s">
        <v>137</v>
      </c>
      <c r="V30" s="139" t="s">
        <v>138</v>
      </c>
      <c r="W30" s="133" t="s">
        <v>64</v>
      </c>
      <c r="X30" s="133" t="s">
        <v>64</v>
      </c>
      <c r="Y30" s="133" t="s">
        <v>64</v>
      </c>
      <c r="Z30" s="133" t="s">
        <v>64</v>
      </c>
      <c r="AA30" s="134"/>
      <c r="AB30" s="140"/>
      <c r="AC30" s="140"/>
      <c r="AD30" s="140" t="s">
        <v>53</v>
      </c>
      <c r="AE30" s="140"/>
      <c r="AF30" s="140"/>
      <c r="AG30" s="140"/>
      <c r="AH30" s="140"/>
      <c r="AI30" s="140"/>
      <c r="AJ30" s="134" t="s">
        <v>52</v>
      </c>
      <c r="AK30" s="133"/>
      <c r="AL30" s="140">
        <f t="shared" si="1"/>
        <v>24.815217391304348</v>
      </c>
      <c r="AM30" s="134" t="s">
        <v>132</v>
      </c>
    </row>
    <row r="31" spans="1:39" ht="73.5" customHeight="1" x14ac:dyDescent="0.25">
      <c r="A31" s="141">
        <v>1</v>
      </c>
      <c r="B31" s="142" t="s">
        <v>159</v>
      </c>
      <c r="C31" s="142" t="s">
        <v>635</v>
      </c>
      <c r="D31" s="142"/>
      <c r="E31" s="142" t="s">
        <v>636</v>
      </c>
      <c r="F31" s="143">
        <v>1400000</v>
      </c>
      <c r="G31" s="143">
        <v>1000000</v>
      </c>
      <c r="H31" s="143">
        <v>400000</v>
      </c>
      <c r="I31" s="142" t="s">
        <v>160</v>
      </c>
      <c r="J31" s="142"/>
      <c r="K31" s="142"/>
      <c r="L31" s="142">
        <v>90</v>
      </c>
      <c r="M31" s="144"/>
      <c r="N31" s="144"/>
      <c r="O31" s="144"/>
      <c r="P31" s="144"/>
      <c r="Q31" s="142" t="s">
        <v>131</v>
      </c>
      <c r="R31" s="142"/>
      <c r="S31" s="145">
        <v>44013</v>
      </c>
      <c r="T31" s="145">
        <v>44743</v>
      </c>
      <c r="U31" s="146" t="s">
        <v>48</v>
      </c>
      <c r="V31" s="146" t="s">
        <v>49</v>
      </c>
      <c r="W31" s="142" t="s">
        <v>131</v>
      </c>
      <c r="X31" s="142" t="s">
        <v>131</v>
      </c>
      <c r="Y31" s="142" t="s">
        <v>64</v>
      </c>
      <c r="Z31" s="142" t="s">
        <v>64</v>
      </c>
      <c r="AA31" s="142" t="s">
        <v>52</v>
      </c>
      <c r="AB31" s="147" t="s">
        <v>53</v>
      </c>
      <c r="AC31" s="147" t="s">
        <v>53</v>
      </c>
      <c r="AD31" s="147"/>
      <c r="AE31" s="147"/>
      <c r="AF31" s="147"/>
      <c r="AG31" s="147"/>
      <c r="AH31" s="147"/>
      <c r="AI31" s="147" t="s">
        <v>53</v>
      </c>
      <c r="AJ31" s="142" t="s">
        <v>52</v>
      </c>
      <c r="AK31" s="142"/>
      <c r="AL31" s="147">
        <f>F31/92000</f>
        <v>15.217391304347826</v>
      </c>
      <c r="AM31" s="148"/>
    </row>
    <row r="32" spans="1:39" ht="26.25" thickBot="1" x14ac:dyDescent="0.3">
      <c r="A32" s="149">
        <v>2</v>
      </c>
      <c r="B32" s="150" t="s">
        <v>159</v>
      </c>
      <c r="C32" s="150" t="s">
        <v>161</v>
      </c>
      <c r="D32" s="150"/>
      <c r="E32" s="150" t="s">
        <v>162</v>
      </c>
      <c r="F32" s="151">
        <v>5000000</v>
      </c>
      <c r="G32" s="151">
        <v>5000000</v>
      </c>
      <c r="H32" s="151"/>
      <c r="I32" s="150" t="s">
        <v>163</v>
      </c>
      <c r="J32" s="149"/>
      <c r="K32" s="149"/>
      <c r="L32" s="149"/>
      <c r="M32" s="152"/>
      <c r="N32" s="152"/>
      <c r="O32" s="152"/>
      <c r="P32" s="152"/>
      <c r="Q32" s="149"/>
      <c r="R32" s="149"/>
      <c r="S32" s="149"/>
      <c r="T32" s="149"/>
      <c r="U32" s="153"/>
      <c r="V32" s="153"/>
      <c r="W32" s="149"/>
      <c r="X32" s="149"/>
      <c r="Y32" s="149"/>
      <c r="Z32" s="149"/>
      <c r="AA32" s="149"/>
      <c r="AB32" s="154"/>
      <c r="AC32" s="154"/>
      <c r="AD32" s="154"/>
      <c r="AE32" s="154"/>
      <c r="AF32" s="154"/>
      <c r="AG32" s="154"/>
      <c r="AH32" s="154"/>
      <c r="AI32" s="154"/>
      <c r="AJ32" s="149"/>
      <c r="AK32" s="149"/>
      <c r="AL32" s="154">
        <f t="shared" ref="AL32:AL61" si="5">F32/92000</f>
        <v>54.347826086956523</v>
      </c>
      <c r="AM32" s="155"/>
    </row>
    <row r="33" spans="1:39" ht="72" customHeight="1" x14ac:dyDescent="0.25">
      <c r="A33" s="116"/>
      <c r="B33" s="117" t="s">
        <v>165</v>
      </c>
      <c r="C33" s="117" t="s">
        <v>166</v>
      </c>
      <c r="D33" s="117"/>
      <c r="E33" s="117" t="s">
        <v>167</v>
      </c>
      <c r="F33" s="118">
        <v>9550000</v>
      </c>
      <c r="G33" s="118">
        <v>4775000</v>
      </c>
      <c r="H33" s="118">
        <v>4775000</v>
      </c>
      <c r="I33" s="116" t="s">
        <v>67</v>
      </c>
      <c r="J33" s="116"/>
      <c r="K33" s="116"/>
      <c r="L33" s="116">
        <v>180</v>
      </c>
      <c r="M33" s="129"/>
      <c r="N33" s="129"/>
      <c r="O33" s="129"/>
      <c r="P33" s="129"/>
      <c r="Q33" s="117" t="s">
        <v>131</v>
      </c>
      <c r="R33" s="116"/>
      <c r="S33" s="131">
        <v>44228</v>
      </c>
      <c r="T33" s="131">
        <v>44500</v>
      </c>
      <c r="U33" s="121" t="s">
        <v>168</v>
      </c>
      <c r="V33" s="121" t="s">
        <v>169</v>
      </c>
      <c r="W33" s="117" t="s">
        <v>64</v>
      </c>
      <c r="X33" s="117" t="s">
        <v>131</v>
      </c>
      <c r="Y33" s="117" t="s">
        <v>64</v>
      </c>
      <c r="Z33" s="117" t="s">
        <v>64</v>
      </c>
      <c r="AA33" s="117" t="s">
        <v>52</v>
      </c>
      <c r="AB33" s="122" t="s">
        <v>53</v>
      </c>
      <c r="AC33" s="122"/>
      <c r="AD33" s="122"/>
      <c r="AE33" s="122"/>
      <c r="AF33" s="122"/>
      <c r="AG33" s="122"/>
      <c r="AH33" s="122"/>
      <c r="AI33" s="122"/>
      <c r="AJ33" s="117" t="s">
        <v>52</v>
      </c>
      <c r="AK33" s="116"/>
      <c r="AL33" s="122">
        <f t="shared" si="5"/>
        <v>103.80434782608695</v>
      </c>
      <c r="AM33" s="117" t="s">
        <v>170</v>
      </c>
    </row>
    <row r="34" spans="1:39" ht="73.5" customHeight="1" x14ac:dyDescent="0.25">
      <c r="A34" s="97"/>
      <c r="B34" s="93" t="s">
        <v>165</v>
      </c>
      <c r="C34" s="93" t="s">
        <v>171</v>
      </c>
      <c r="D34" s="93"/>
      <c r="E34" s="93" t="s">
        <v>172</v>
      </c>
      <c r="F34" s="123">
        <v>3512000</v>
      </c>
      <c r="G34" s="123">
        <v>1756000</v>
      </c>
      <c r="H34" s="123">
        <v>1756000</v>
      </c>
      <c r="I34" s="97" t="s">
        <v>67</v>
      </c>
      <c r="J34" s="97"/>
      <c r="K34" s="97"/>
      <c r="L34" s="97">
        <v>270</v>
      </c>
      <c r="M34" s="99"/>
      <c r="N34" s="99"/>
      <c r="O34" s="99"/>
      <c r="P34" s="99"/>
      <c r="Q34" s="93" t="s">
        <v>131</v>
      </c>
      <c r="R34" s="97"/>
      <c r="S34" s="100">
        <v>44228</v>
      </c>
      <c r="T34" s="100">
        <v>44438</v>
      </c>
      <c r="U34" s="124" t="s">
        <v>173</v>
      </c>
      <c r="V34" s="124" t="s">
        <v>169</v>
      </c>
      <c r="W34" s="93" t="s">
        <v>64</v>
      </c>
      <c r="X34" s="93" t="s">
        <v>131</v>
      </c>
      <c r="Y34" s="93" t="s">
        <v>64</v>
      </c>
      <c r="Z34" s="93" t="s">
        <v>64</v>
      </c>
      <c r="AA34" s="93" t="s">
        <v>52</v>
      </c>
      <c r="AB34" s="96" t="s">
        <v>53</v>
      </c>
      <c r="AC34" s="96"/>
      <c r="AD34" s="96"/>
      <c r="AE34" s="96"/>
      <c r="AF34" s="96"/>
      <c r="AG34" s="96"/>
      <c r="AH34" s="96"/>
      <c r="AI34" s="96"/>
      <c r="AJ34" s="93" t="s">
        <v>52</v>
      </c>
      <c r="AK34" s="97"/>
      <c r="AL34" s="96">
        <f t="shared" si="5"/>
        <v>38.173913043478258</v>
      </c>
      <c r="AM34" s="93" t="s">
        <v>170</v>
      </c>
    </row>
    <row r="35" spans="1:39" ht="79.5" customHeight="1" x14ac:dyDescent="0.25">
      <c r="A35" s="97"/>
      <c r="B35" s="93" t="s">
        <v>165</v>
      </c>
      <c r="C35" s="93" t="s">
        <v>174</v>
      </c>
      <c r="D35" s="93"/>
      <c r="E35" s="93" t="s">
        <v>175</v>
      </c>
      <c r="F35" s="123">
        <v>602500</v>
      </c>
      <c r="G35" s="123">
        <v>301250</v>
      </c>
      <c r="H35" s="123">
        <v>301250</v>
      </c>
      <c r="I35" s="97" t="s">
        <v>46</v>
      </c>
      <c r="J35" s="97"/>
      <c r="K35" s="97"/>
      <c r="L35" s="97">
        <v>180</v>
      </c>
      <c r="M35" s="99"/>
      <c r="N35" s="99"/>
      <c r="O35" s="99"/>
      <c r="P35" s="99"/>
      <c r="Q35" s="93" t="s">
        <v>64</v>
      </c>
      <c r="R35" s="100">
        <v>43983</v>
      </c>
      <c r="S35" s="100">
        <v>44319</v>
      </c>
      <c r="T35" s="100">
        <v>44408</v>
      </c>
      <c r="U35" s="124" t="s">
        <v>176</v>
      </c>
      <c r="V35" s="124" t="s">
        <v>169</v>
      </c>
      <c r="W35" s="93" t="s">
        <v>64</v>
      </c>
      <c r="X35" s="93" t="s">
        <v>131</v>
      </c>
      <c r="Y35" s="93" t="s">
        <v>131</v>
      </c>
      <c r="Z35" s="93" t="s">
        <v>64</v>
      </c>
      <c r="AA35" s="93" t="s">
        <v>52</v>
      </c>
      <c r="AB35" s="96" t="s">
        <v>53</v>
      </c>
      <c r="AC35" s="96"/>
      <c r="AD35" s="96"/>
      <c r="AE35" s="96"/>
      <c r="AF35" s="96"/>
      <c r="AG35" s="96"/>
      <c r="AH35" s="96"/>
      <c r="AI35" s="96"/>
      <c r="AJ35" s="93" t="s">
        <v>52</v>
      </c>
      <c r="AK35" s="97"/>
      <c r="AL35" s="96">
        <f t="shared" si="5"/>
        <v>6.5489130434782608</v>
      </c>
      <c r="AM35" s="93" t="s">
        <v>170</v>
      </c>
    </row>
    <row r="36" spans="1:39" ht="63.75" x14ac:dyDescent="0.25">
      <c r="A36" s="97"/>
      <c r="B36" s="93" t="s">
        <v>165</v>
      </c>
      <c r="C36" s="93" t="s">
        <v>177</v>
      </c>
      <c r="D36" s="93"/>
      <c r="E36" s="93" t="s">
        <v>178</v>
      </c>
      <c r="F36" s="123">
        <v>819000</v>
      </c>
      <c r="G36" s="123">
        <v>409500</v>
      </c>
      <c r="H36" s="123">
        <v>409500</v>
      </c>
      <c r="I36" s="97" t="s">
        <v>46</v>
      </c>
      <c r="J36" s="97"/>
      <c r="K36" s="97"/>
      <c r="L36" s="97">
        <v>180</v>
      </c>
      <c r="M36" s="99"/>
      <c r="N36" s="99"/>
      <c r="O36" s="99"/>
      <c r="P36" s="99"/>
      <c r="Q36" s="93" t="s">
        <v>64</v>
      </c>
      <c r="R36" s="100">
        <v>43983</v>
      </c>
      <c r="S36" s="100">
        <v>44319</v>
      </c>
      <c r="T36" s="100">
        <v>44408</v>
      </c>
      <c r="U36" s="124" t="s">
        <v>176</v>
      </c>
      <c r="V36" s="124" t="s">
        <v>169</v>
      </c>
      <c r="W36" s="93" t="s">
        <v>64</v>
      </c>
      <c r="X36" s="93" t="s">
        <v>131</v>
      </c>
      <c r="Y36" s="93" t="s">
        <v>131</v>
      </c>
      <c r="Z36" s="93" t="s">
        <v>64</v>
      </c>
      <c r="AA36" s="93" t="s">
        <v>52</v>
      </c>
      <c r="AB36" s="96" t="s">
        <v>53</v>
      </c>
      <c r="AC36" s="96"/>
      <c r="AD36" s="96"/>
      <c r="AE36" s="96"/>
      <c r="AF36" s="96"/>
      <c r="AG36" s="96"/>
      <c r="AH36" s="96"/>
      <c r="AI36" s="96"/>
      <c r="AJ36" s="93" t="s">
        <v>52</v>
      </c>
      <c r="AK36" s="97"/>
      <c r="AL36" s="96">
        <f t="shared" si="5"/>
        <v>8.9021739130434785</v>
      </c>
      <c r="AM36" s="93" t="s">
        <v>170</v>
      </c>
    </row>
    <row r="37" spans="1:39" ht="76.5" x14ac:dyDescent="0.25">
      <c r="A37" s="97"/>
      <c r="B37" s="93" t="s">
        <v>165</v>
      </c>
      <c r="C37" s="93" t="s">
        <v>179</v>
      </c>
      <c r="D37" s="93"/>
      <c r="E37" s="93" t="s">
        <v>180</v>
      </c>
      <c r="F37" s="123">
        <v>1609000</v>
      </c>
      <c r="G37" s="123">
        <v>804500</v>
      </c>
      <c r="H37" s="123">
        <v>804500</v>
      </c>
      <c r="I37" s="97" t="s">
        <v>46</v>
      </c>
      <c r="J37" s="97"/>
      <c r="K37" s="97"/>
      <c r="L37" s="97">
        <v>180</v>
      </c>
      <c r="M37" s="99"/>
      <c r="N37" s="99"/>
      <c r="O37" s="99"/>
      <c r="P37" s="99"/>
      <c r="Q37" s="93" t="s">
        <v>64</v>
      </c>
      <c r="R37" s="100">
        <v>43983</v>
      </c>
      <c r="S37" s="100">
        <v>44319</v>
      </c>
      <c r="T37" s="100">
        <v>44469</v>
      </c>
      <c r="U37" s="124" t="s">
        <v>176</v>
      </c>
      <c r="V37" s="124" t="s">
        <v>169</v>
      </c>
      <c r="W37" s="93" t="s">
        <v>64</v>
      </c>
      <c r="X37" s="93" t="s">
        <v>131</v>
      </c>
      <c r="Y37" s="93" t="s">
        <v>131</v>
      </c>
      <c r="Z37" s="93" t="s">
        <v>64</v>
      </c>
      <c r="AA37" s="93" t="s">
        <v>52</v>
      </c>
      <c r="AB37" s="96" t="s">
        <v>53</v>
      </c>
      <c r="AC37" s="96"/>
      <c r="AD37" s="96"/>
      <c r="AE37" s="96"/>
      <c r="AF37" s="96"/>
      <c r="AG37" s="96"/>
      <c r="AH37" s="96"/>
      <c r="AI37" s="96"/>
      <c r="AJ37" s="93" t="s">
        <v>52</v>
      </c>
      <c r="AK37" s="97"/>
      <c r="AL37" s="96">
        <f t="shared" si="5"/>
        <v>17.489130434782609</v>
      </c>
      <c r="AM37" s="93" t="s">
        <v>170</v>
      </c>
    </row>
    <row r="38" spans="1:39" ht="63.75" x14ac:dyDescent="0.25">
      <c r="A38" s="97"/>
      <c r="B38" s="93" t="s">
        <v>165</v>
      </c>
      <c r="C38" s="93" t="s">
        <v>181</v>
      </c>
      <c r="D38" s="93"/>
      <c r="E38" s="97" t="s">
        <v>182</v>
      </c>
      <c r="F38" s="123">
        <v>511000</v>
      </c>
      <c r="G38" s="123">
        <v>255500</v>
      </c>
      <c r="H38" s="123">
        <v>255500</v>
      </c>
      <c r="I38" s="97" t="s">
        <v>68</v>
      </c>
      <c r="J38" s="97"/>
      <c r="K38" s="97"/>
      <c r="L38" s="97">
        <v>365</v>
      </c>
      <c r="M38" s="99"/>
      <c r="N38" s="99"/>
      <c r="O38" s="99"/>
      <c r="P38" s="99"/>
      <c r="Q38" s="93" t="s">
        <v>64</v>
      </c>
      <c r="R38" s="100">
        <v>44036</v>
      </c>
      <c r="S38" s="100">
        <v>44319</v>
      </c>
      <c r="T38" s="100">
        <v>44372</v>
      </c>
      <c r="U38" s="126" t="s">
        <v>183</v>
      </c>
      <c r="V38" s="124" t="s">
        <v>169</v>
      </c>
      <c r="W38" s="93" t="s">
        <v>64</v>
      </c>
      <c r="X38" s="93" t="s">
        <v>131</v>
      </c>
      <c r="Y38" s="93" t="s">
        <v>64</v>
      </c>
      <c r="Z38" s="93" t="s">
        <v>64</v>
      </c>
      <c r="AA38" s="93" t="s">
        <v>184</v>
      </c>
      <c r="AB38" s="96" t="s">
        <v>53</v>
      </c>
      <c r="AC38" s="96"/>
      <c r="AD38" s="96"/>
      <c r="AE38" s="96"/>
      <c r="AF38" s="96"/>
      <c r="AG38" s="96"/>
      <c r="AH38" s="96"/>
      <c r="AI38" s="96"/>
      <c r="AJ38" s="93" t="s">
        <v>184</v>
      </c>
      <c r="AK38" s="97"/>
      <c r="AL38" s="96">
        <f t="shared" si="5"/>
        <v>5.5543478260869561</v>
      </c>
      <c r="AM38" s="93" t="s">
        <v>185</v>
      </c>
    </row>
    <row r="39" spans="1:39" ht="79.5" customHeight="1" x14ac:dyDescent="0.25">
      <c r="A39" s="97"/>
      <c r="B39" s="93" t="s">
        <v>165</v>
      </c>
      <c r="C39" s="93" t="s">
        <v>186</v>
      </c>
      <c r="D39" s="93"/>
      <c r="E39" s="93" t="s">
        <v>187</v>
      </c>
      <c r="F39" s="123">
        <v>2800000</v>
      </c>
      <c r="G39" s="123">
        <v>1400000</v>
      </c>
      <c r="H39" s="123">
        <v>1400000</v>
      </c>
      <c r="I39" s="97" t="s">
        <v>46</v>
      </c>
      <c r="J39" s="97"/>
      <c r="K39" s="97"/>
      <c r="L39" s="97">
        <v>730</v>
      </c>
      <c r="M39" s="99"/>
      <c r="N39" s="99"/>
      <c r="O39" s="99"/>
      <c r="P39" s="99"/>
      <c r="Q39" s="93" t="s">
        <v>64</v>
      </c>
      <c r="R39" s="100">
        <v>44249</v>
      </c>
      <c r="S39" s="100">
        <v>44683</v>
      </c>
      <c r="T39" s="100">
        <v>45009</v>
      </c>
      <c r="U39" s="124" t="s">
        <v>188</v>
      </c>
      <c r="V39" s="124" t="s">
        <v>169</v>
      </c>
      <c r="W39" s="93" t="s">
        <v>64</v>
      </c>
      <c r="X39" s="93" t="s">
        <v>131</v>
      </c>
      <c r="Y39" s="93" t="s">
        <v>64</v>
      </c>
      <c r="Z39" s="93" t="s">
        <v>64</v>
      </c>
      <c r="AA39" s="93" t="s">
        <v>184</v>
      </c>
      <c r="AB39" s="96" t="s">
        <v>53</v>
      </c>
      <c r="AC39" s="96"/>
      <c r="AD39" s="96"/>
      <c r="AE39" s="96"/>
      <c r="AF39" s="96"/>
      <c r="AG39" s="96"/>
      <c r="AH39" s="96"/>
      <c r="AI39" s="96"/>
      <c r="AJ39" s="93" t="s">
        <v>184</v>
      </c>
      <c r="AK39" s="93" t="s">
        <v>189</v>
      </c>
      <c r="AL39" s="96">
        <f t="shared" si="5"/>
        <v>30.434782608695652</v>
      </c>
      <c r="AM39" s="93" t="s">
        <v>185</v>
      </c>
    </row>
    <row r="40" spans="1:39" ht="63.75" x14ac:dyDescent="0.25">
      <c r="A40" s="97"/>
      <c r="B40" s="93" t="s">
        <v>165</v>
      </c>
      <c r="C40" s="93" t="s">
        <v>190</v>
      </c>
      <c r="D40" s="93"/>
      <c r="E40" s="93" t="s">
        <v>191</v>
      </c>
      <c r="F40" s="123">
        <v>800000</v>
      </c>
      <c r="G40" s="123">
        <v>400000</v>
      </c>
      <c r="H40" s="123">
        <v>400000</v>
      </c>
      <c r="I40" s="97" t="s">
        <v>68</v>
      </c>
      <c r="J40" s="97"/>
      <c r="K40" s="97"/>
      <c r="L40" s="97">
        <v>365</v>
      </c>
      <c r="M40" s="99"/>
      <c r="N40" s="99"/>
      <c r="O40" s="99"/>
      <c r="P40" s="99"/>
      <c r="Q40" s="93" t="s">
        <v>64</v>
      </c>
      <c r="R40" s="95">
        <v>44022</v>
      </c>
      <c r="S40" s="95">
        <v>44319</v>
      </c>
      <c r="T40" s="95">
        <v>44420</v>
      </c>
      <c r="U40" s="124" t="s">
        <v>192</v>
      </c>
      <c r="V40" s="124" t="s">
        <v>169</v>
      </c>
      <c r="W40" s="93" t="s">
        <v>64</v>
      </c>
      <c r="X40" s="93" t="s">
        <v>131</v>
      </c>
      <c r="Y40" s="93" t="s">
        <v>64</v>
      </c>
      <c r="Z40" s="93" t="s">
        <v>64</v>
      </c>
      <c r="AA40" s="93" t="s">
        <v>184</v>
      </c>
      <c r="AB40" s="96" t="s">
        <v>53</v>
      </c>
      <c r="AC40" s="96"/>
      <c r="AD40" s="96"/>
      <c r="AE40" s="96"/>
      <c r="AF40" s="96"/>
      <c r="AG40" s="96"/>
      <c r="AH40" s="96"/>
      <c r="AI40" s="96"/>
      <c r="AJ40" s="93" t="s">
        <v>184</v>
      </c>
      <c r="AK40" s="97"/>
      <c r="AL40" s="96">
        <f t="shared" si="5"/>
        <v>8.695652173913043</v>
      </c>
      <c r="AM40" s="93" t="s">
        <v>185</v>
      </c>
    </row>
    <row r="41" spans="1:39" ht="64.5" thickBot="1" x14ac:dyDescent="0.3">
      <c r="A41" s="133"/>
      <c r="B41" s="134" t="s">
        <v>165</v>
      </c>
      <c r="C41" s="134" t="s">
        <v>193</v>
      </c>
      <c r="D41" s="134"/>
      <c r="E41" s="134" t="s">
        <v>194</v>
      </c>
      <c r="F41" s="156">
        <v>800000</v>
      </c>
      <c r="G41" s="156">
        <v>400000</v>
      </c>
      <c r="H41" s="156">
        <v>400000</v>
      </c>
      <c r="I41" s="133" t="s">
        <v>68</v>
      </c>
      <c r="J41" s="133"/>
      <c r="K41" s="133"/>
      <c r="L41" s="133">
        <v>730</v>
      </c>
      <c r="M41" s="136"/>
      <c r="N41" s="136"/>
      <c r="O41" s="136"/>
      <c r="P41" s="136"/>
      <c r="Q41" s="134" t="s">
        <v>64</v>
      </c>
      <c r="R41" s="138">
        <v>44249</v>
      </c>
      <c r="S41" s="138">
        <v>44683</v>
      </c>
      <c r="T41" s="157">
        <v>44771</v>
      </c>
      <c r="U41" s="139" t="s">
        <v>192</v>
      </c>
      <c r="V41" s="139" t="s">
        <v>169</v>
      </c>
      <c r="W41" s="134" t="s">
        <v>64</v>
      </c>
      <c r="X41" s="134" t="s">
        <v>131</v>
      </c>
      <c r="Y41" s="134" t="s">
        <v>64</v>
      </c>
      <c r="Z41" s="134" t="s">
        <v>64</v>
      </c>
      <c r="AA41" s="134" t="s">
        <v>184</v>
      </c>
      <c r="AB41" s="140" t="s">
        <v>53</v>
      </c>
      <c r="AC41" s="140"/>
      <c r="AD41" s="140"/>
      <c r="AE41" s="140"/>
      <c r="AF41" s="140"/>
      <c r="AG41" s="140"/>
      <c r="AH41" s="140"/>
      <c r="AI41" s="140"/>
      <c r="AJ41" s="134" t="s">
        <v>184</v>
      </c>
      <c r="AK41" s="133"/>
      <c r="AL41" s="140">
        <f t="shared" si="5"/>
        <v>8.695652173913043</v>
      </c>
      <c r="AM41" s="134" t="s">
        <v>185</v>
      </c>
    </row>
    <row r="42" spans="1:39" ht="63.75" x14ac:dyDescent="0.25">
      <c r="A42" s="142">
        <v>1</v>
      </c>
      <c r="B42" s="142" t="s">
        <v>195</v>
      </c>
      <c r="C42" s="142" t="s">
        <v>196</v>
      </c>
      <c r="D42" s="142"/>
      <c r="E42" s="142" t="s">
        <v>197</v>
      </c>
      <c r="F42" s="143">
        <v>14000000</v>
      </c>
      <c r="G42" s="143">
        <v>7000000</v>
      </c>
      <c r="H42" s="143">
        <v>7000000</v>
      </c>
      <c r="I42" s="142" t="s">
        <v>198</v>
      </c>
      <c r="J42" s="142" t="s">
        <v>199</v>
      </c>
      <c r="K42" s="142"/>
      <c r="L42" s="142">
        <v>90</v>
      </c>
      <c r="M42" s="142">
        <v>0</v>
      </c>
      <c r="N42" s="142">
        <v>25</v>
      </c>
      <c r="O42" s="142">
        <v>50</v>
      </c>
      <c r="P42" s="142">
        <v>80</v>
      </c>
      <c r="Q42" s="142" t="s">
        <v>131</v>
      </c>
      <c r="R42" s="142"/>
      <c r="S42" s="145">
        <v>44075</v>
      </c>
      <c r="T42" s="145">
        <v>44561</v>
      </c>
      <c r="U42" s="146" t="s">
        <v>200</v>
      </c>
      <c r="V42" s="146" t="s">
        <v>201</v>
      </c>
      <c r="W42" s="142" t="s">
        <v>131</v>
      </c>
      <c r="X42" s="142" t="s">
        <v>131</v>
      </c>
      <c r="Y42" s="142" t="s">
        <v>131</v>
      </c>
      <c r="Z42" s="142" t="s">
        <v>64</v>
      </c>
      <c r="AA42" s="142" t="s">
        <v>202</v>
      </c>
      <c r="AB42" s="147" t="s">
        <v>53</v>
      </c>
      <c r="AC42" s="147" t="s">
        <v>53</v>
      </c>
      <c r="AD42" s="147"/>
      <c r="AE42" s="147"/>
      <c r="AF42" s="147" t="s">
        <v>53</v>
      </c>
      <c r="AG42" s="147"/>
      <c r="AH42" s="147"/>
      <c r="AI42" s="147" t="s">
        <v>53</v>
      </c>
      <c r="AJ42" s="142" t="s">
        <v>52</v>
      </c>
      <c r="AK42" s="142"/>
      <c r="AL42" s="147">
        <f t="shared" si="5"/>
        <v>152.17391304347825</v>
      </c>
      <c r="AM42" s="142" t="s">
        <v>203</v>
      </c>
    </row>
    <row r="43" spans="1:39" ht="89.25" x14ac:dyDescent="0.25">
      <c r="A43" s="88">
        <v>2</v>
      </c>
      <c r="B43" s="88" t="s">
        <v>195</v>
      </c>
      <c r="C43" s="88" t="s">
        <v>204</v>
      </c>
      <c r="D43" s="88"/>
      <c r="E43" s="88" t="s">
        <v>205</v>
      </c>
      <c r="F43" s="158">
        <v>42729828</v>
      </c>
      <c r="G43" s="158">
        <f>F43/2</f>
        <v>21364914</v>
      </c>
      <c r="H43" s="158">
        <f>F43-G43</f>
        <v>21364914</v>
      </c>
      <c r="I43" s="88" t="s">
        <v>206</v>
      </c>
      <c r="J43" s="88" t="s">
        <v>207</v>
      </c>
      <c r="K43" s="88"/>
      <c r="L43" s="88">
        <v>0</v>
      </c>
      <c r="M43" s="88">
        <v>5</v>
      </c>
      <c r="N43" s="88">
        <v>25</v>
      </c>
      <c r="O43" s="88">
        <v>50</v>
      </c>
      <c r="P43" s="88">
        <v>90</v>
      </c>
      <c r="Q43" s="88" t="s">
        <v>131</v>
      </c>
      <c r="R43" s="88"/>
      <c r="S43" s="89">
        <v>44013</v>
      </c>
      <c r="T43" s="89">
        <v>44409</v>
      </c>
      <c r="U43" s="159" t="s">
        <v>208</v>
      </c>
      <c r="V43" s="159" t="s">
        <v>201</v>
      </c>
      <c r="W43" s="88" t="s">
        <v>131</v>
      </c>
      <c r="X43" s="88" t="s">
        <v>131</v>
      </c>
      <c r="Y43" s="88" t="s">
        <v>64</v>
      </c>
      <c r="Z43" s="88" t="s">
        <v>64</v>
      </c>
      <c r="AA43" s="88" t="s">
        <v>209</v>
      </c>
      <c r="AB43" s="90" t="s">
        <v>53</v>
      </c>
      <c r="AC43" s="90" t="s">
        <v>53</v>
      </c>
      <c r="AD43" s="90"/>
      <c r="AE43" s="90"/>
      <c r="AF43" s="90" t="s">
        <v>53</v>
      </c>
      <c r="AG43" s="90"/>
      <c r="AH43" s="90"/>
      <c r="AI43" s="90"/>
      <c r="AJ43" s="88" t="s">
        <v>52</v>
      </c>
      <c r="AK43" s="88"/>
      <c r="AL43" s="90">
        <f t="shared" si="5"/>
        <v>464.45465217391302</v>
      </c>
      <c r="AM43" s="88" t="s">
        <v>210</v>
      </c>
    </row>
    <row r="44" spans="1:39" ht="51" x14ac:dyDescent="0.25">
      <c r="A44" s="88">
        <v>3</v>
      </c>
      <c r="B44" s="88" t="s">
        <v>195</v>
      </c>
      <c r="C44" s="88" t="s">
        <v>211</v>
      </c>
      <c r="D44" s="88"/>
      <c r="E44" s="88" t="s">
        <v>212</v>
      </c>
      <c r="F44" s="160">
        <v>11000000</v>
      </c>
      <c r="G44" s="160">
        <v>5500000</v>
      </c>
      <c r="H44" s="160">
        <v>5500000</v>
      </c>
      <c r="I44" s="88" t="s">
        <v>213</v>
      </c>
      <c r="J44" s="88"/>
      <c r="K44" s="88"/>
      <c r="L44" s="88">
        <v>0</v>
      </c>
      <c r="M44" s="88">
        <v>10</v>
      </c>
      <c r="N44" s="88">
        <v>30</v>
      </c>
      <c r="O44" s="88">
        <v>100</v>
      </c>
      <c r="P44" s="88"/>
      <c r="Q44" s="88" t="s">
        <v>131</v>
      </c>
      <c r="R44" s="88"/>
      <c r="S44" s="89">
        <v>43983</v>
      </c>
      <c r="T44" s="89">
        <v>44196</v>
      </c>
      <c r="U44" s="159" t="s">
        <v>214</v>
      </c>
      <c r="V44" s="159"/>
      <c r="W44" s="88" t="s">
        <v>64</v>
      </c>
      <c r="X44" s="88" t="s">
        <v>131</v>
      </c>
      <c r="Y44" s="88" t="s">
        <v>64</v>
      </c>
      <c r="Z44" s="88" t="s">
        <v>64</v>
      </c>
      <c r="AA44" s="88" t="s">
        <v>215</v>
      </c>
      <c r="AB44" s="90" t="s">
        <v>53</v>
      </c>
      <c r="AC44" s="90"/>
      <c r="AD44" s="90"/>
      <c r="AE44" s="90"/>
      <c r="AF44" s="90"/>
      <c r="AG44" s="90"/>
      <c r="AH44" s="90"/>
      <c r="AI44" s="90"/>
      <c r="AJ44" s="88" t="s">
        <v>52</v>
      </c>
      <c r="AK44" s="88"/>
      <c r="AL44" s="90">
        <f t="shared" si="5"/>
        <v>119.56521739130434</v>
      </c>
      <c r="AM44" s="88" t="s">
        <v>216</v>
      </c>
    </row>
    <row r="45" spans="1:39" ht="51" x14ac:dyDescent="0.25">
      <c r="A45" s="88">
        <v>4</v>
      </c>
      <c r="B45" s="88" t="s">
        <v>195</v>
      </c>
      <c r="C45" s="88" t="s">
        <v>217</v>
      </c>
      <c r="D45" s="88"/>
      <c r="E45" s="88" t="s">
        <v>218</v>
      </c>
      <c r="F45" s="160">
        <v>4000000</v>
      </c>
      <c r="G45" s="160">
        <v>2000000</v>
      </c>
      <c r="H45" s="160">
        <v>2000000</v>
      </c>
      <c r="I45" s="88" t="s">
        <v>213</v>
      </c>
      <c r="J45" s="88"/>
      <c r="K45" s="88"/>
      <c r="L45" s="88">
        <v>0</v>
      </c>
      <c r="M45" s="88">
        <v>10</v>
      </c>
      <c r="N45" s="88">
        <v>30</v>
      </c>
      <c r="O45" s="88">
        <v>100</v>
      </c>
      <c r="P45" s="88"/>
      <c r="Q45" s="88" t="s">
        <v>131</v>
      </c>
      <c r="R45" s="88"/>
      <c r="S45" s="89">
        <v>43983</v>
      </c>
      <c r="T45" s="89">
        <v>44180</v>
      </c>
      <c r="U45" s="159" t="s">
        <v>214</v>
      </c>
      <c r="V45" s="159"/>
      <c r="W45" s="88" t="s">
        <v>64</v>
      </c>
      <c r="X45" s="88" t="s">
        <v>131</v>
      </c>
      <c r="Y45" s="88" t="s">
        <v>64</v>
      </c>
      <c r="Z45" s="88" t="s">
        <v>64</v>
      </c>
      <c r="AA45" s="88" t="s">
        <v>215</v>
      </c>
      <c r="AB45" s="90" t="s">
        <v>53</v>
      </c>
      <c r="AC45" s="90"/>
      <c r="AD45" s="90"/>
      <c r="AE45" s="90"/>
      <c r="AF45" s="90"/>
      <c r="AG45" s="90"/>
      <c r="AH45" s="90"/>
      <c r="AI45" s="90"/>
      <c r="AJ45" s="88" t="s">
        <v>52</v>
      </c>
      <c r="AK45" s="88"/>
      <c r="AL45" s="90">
        <f t="shared" si="5"/>
        <v>43.478260869565219</v>
      </c>
      <c r="AM45" s="88" t="s">
        <v>216</v>
      </c>
    </row>
    <row r="46" spans="1:39" ht="89.25" x14ac:dyDescent="0.25">
      <c r="A46" s="88">
        <v>5</v>
      </c>
      <c r="B46" s="88" t="s">
        <v>195</v>
      </c>
      <c r="C46" s="88" t="s">
        <v>219</v>
      </c>
      <c r="D46" s="88"/>
      <c r="E46" s="88" t="s">
        <v>220</v>
      </c>
      <c r="F46" s="160">
        <v>1900000</v>
      </c>
      <c r="G46" s="160">
        <v>950000</v>
      </c>
      <c r="H46" s="160">
        <v>950000</v>
      </c>
      <c r="I46" s="88" t="s">
        <v>221</v>
      </c>
      <c r="J46" s="88"/>
      <c r="K46" s="88"/>
      <c r="L46" s="88">
        <v>90</v>
      </c>
      <c r="M46" s="88"/>
      <c r="N46" s="88">
        <v>75</v>
      </c>
      <c r="O46" s="88">
        <v>100</v>
      </c>
      <c r="P46" s="88"/>
      <c r="Q46" s="88" t="s">
        <v>131</v>
      </c>
      <c r="R46" s="88"/>
      <c r="S46" s="89">
        <v>44044</v>
      </c>
      <c r="T46" s="89">
        <v>44286</v>
      </c>
      <c r="U46" s="159" t="s">
        <v>222</v>
      </c>
      <c r="V46" s="159"/>
      <c r="W46" s="88" t="s">
        <v>64</v>
      </c>
      <c r="X46" s="88" t="s">
        <v>131</v>
      </c>
      <c r="Y46" s="88" t="s">
        <v>64</v>
      </c>
      <c r="Z46" s="88" t="s">
        <v>64</v>
      </c>
      <c r="AA46" s="88" t="s">
        <v>223</v>
      </c>
      <c r="AB46" s="90" t="s">
        <v>53</v>
      </c>
      <c r="AC46" s="90" t="s">
        <v>53</v>
      </c>
      <c r="AD46" s="90"/>
      <c r="AE46" s="90"/>
      <c r="AF46" s="90"/>
      <c r="AG46" s="90"/>
      <c r="AH46" s="90"/>
      <c r="AI46" s="90"/>
      <c r="AJ46" s="88" t="s">
        <v>224</v>
      </c>
      <c r="AK46" s="88"/>
      <c r="AL46" s="90">
        <f t="shared" si="5"/>
        <v>20.652173913043477</v>
      </c>
      <c r="AM46" s="88" t="s">
        <v>225</v>
      </c>
    </row>
    <row r="47" spans="1:39" ht="51" x14ac:dyDescent="0.25">
      <c r="A47" s="88">
        <v>6</v>
      </c>
      <c r="B47" s="88" t="s">
        <v>195</v>
      </c>
      <c r="C47" s="88" t="s">
        <v>226</v>
      </c>
      <c r="D47" s="88"/>
      <c r="E47" s="88" t="s">
        <v>227</v>
      </c>
      <c r="F47" s="160">
        <v>1500000</v>
      </c>
      <c r="G47" s="160">
        <v>750000</v>
      </c>
      <c r="H47" s="160">
        <v>750000</v>
      </c>
      <c r="I47" s="88" t="s">
        <v>221</v>
      </c>
      <c r="J47" s="88"/>
      <c r="K47" s="88"/>
      <c r="L47" s="88">
        <v>90</v>
      </c>
      <c r="M47" s="88"/>
      <c r="N47" s="88">
        <v>75</v>
      </c>
      <c r="O47" s="88">
        <v>100</v>
      </c>
      <c r="P47" s="88"/>
      <c r="Q47" s="88" t="s">
        <v>131</v>
      </c>
      <c r="R47" s="91"/>
      <c r="S47" s="89">
        <v>44013</v>
      </c>
      <c r="T47" s="89">
        <v>44196</v>
      </c>
      <c r="U47" s="159" t="s">
        <v>222</v>
      </c>
      <c r="V47" s="159"/>
      <c r="W47" s="88" t="s">
        <v>64</v>
      </c>
      <c r="X47" s="88" t="s">
        <v>131</v>
      </c>
      <c r="Y47" s="88" t="s">
        <v>64</v>
      </c>
      <c r="Z47" s="88" t="s">
        <v>64</v>
      </c>
      <c r="AA47" s="88" t="s">
        <v>223</v>
      </c>
      <c r="AB47" s="90" t="s">
        <v>53</v>
      </c>
      <c r="AC47" s="90" t="s">
        <v>53</v>
      </c>
      <c r="AD47" s="90"/>
      <c r="AE47" s="90"/>
      <c r="AF47" s="90"/>
      <c r="AG47" s="90"/>
      <c r="AH47" s="90"/>
      <c r="AI47" s="90"/>
      <c r="AJ47" s="88" t="s">
        <v>224</v>
      </c>
      <c r="AK47" s="88"/>
      <c r="AL47" s="90">
        <f>F47/92000</f>
        <v>16.304347826086957</v>
      </c>
      <c r="AM47" s="88" t="s">
        <v>225</v>
      </c>
    </row>
    <row r="48" spans="1:39" ht="102" x14ac:dyDescent="0.25">
      <c r="A48" s="88">
        <v>7</v>
      </c>
      <c r="B48" s="88" t="s">
        <v>195</v>
      </c>
      <c r="C48" s="88" t="s">
        <v>228</v>
      </c>
      <c r="D48" s="88"/>
      <c r="E48" s="88" t="s">
        <v>229</v>
      </c>
      <c r="F48" s="160">
        <v>25000000</v>
      </c>
      <c r="G48" s="160">
        <v>12500000</v>
      </c>
      <c r="H48" s="160">
        <v>12500000</v>
      </c>
      <c r="I48" s="88" t="s">
        <v>221</v>
      </c>
      <c r="J48" s="88"/>
      <c r="K48" s="88"/>
      <c r="L48" s="88">
        <v>365</v>
      </c>
      <c r="M48" s="88"/>
      <c r="N48" s="88"/>
      <c r="O48" s="88"/>
      <c r="P48" s="88"/>
      <c r="Q48" s="88" t="s">
        <v>64</v>
      </c>
      <c r="R48" s="91">
        <v>44317</v>
      </c>
      <c r="S48" s="89">
        <v>44317</v>
      </c>
      <c r="T48" s="89">
        <v>44805</v>
      </c>
      <c r="U48" s="159" t="s">
        <v>633</v>
      </c>
      <c r="V48" s="159"/>
      <c r="W48" s="88" t="s">
        <v>64</v>
      </c>
      <c r="X48" s="88" t="s">
        <v>131</v>
      </c>
      <c r="Y48" s="88" t="s">
        <v>131</v>
      </c>
      <c r="Z48" s="88" t="s">
        <v>64</v>
      </c>
      <c r="AA48" s="88" t="s">
        <v>634</v>
      </c>
      <c r="AB48" s="90" t="s">
        <v>53</v>
      </c>
      <c r="AC48" s="90"/>
      <c r="AD48" s="90"/>
      <c r="AE48" s="90"/>
      <c r="AF48" s="90" t="s">
        <v>53</v>
      </c>
      <c r="AG48" s="90"/>
      <c r="AH48" s="90"/>
      <c r="AI48" s="90"/>
      <c r="AJ48" s="88" t="s">
        <v>224</v>
      </c>
      <c r="AK48" s="88"/>
      <c r="AL48" s="90">
        <f>F48/92000</f>
        <v>271.73913043478262</v>
      </c>
      <c r="AM48" s="88" t="s">
        <v>225</v>
      </c>
    </row>
    <row r="49" spans="1:39" ht="38.25" x14ac:dyDescent="0.25">
      <c r="A49" s="88">
        <v>8</v>
      </c>
      <c r="B49" s="88" t="s">
        <v>195</v>
      </c>
      <c r="C49" s="88" t="s">
        <v>230</v>
      </c>
      <c r="D49" s="88"/>
      <c r="E49" s="88" t="s">
        <v>212</v>
      </c>
      <c r="F49" s="160">
        <v>8500000</v>
      </c>
      <c r="G49" s="160">
        <v>4250000</v>
      </c>
      <c r="H49" s="160">
        <v>4250000</v>
      </c>
      <c r="I49" s="88" t="s">
        <v>213</v>
      </c>
      <c r="J49" s="88"/>
      <c r="K49" s="88"/>
      <c r="L49" s="88">
        <v>365</v>
      </c>
      <c r="M49" s="88"/>
      <c r="N49" s="88"/>
      <c r="O49" s="88"/>
      <c r="P49" s="88">
        <v>25</v>
      </c>
      <c r="Q49" s="88" t="s">
        <v>64</v>
      </c>
      <c r="R49" s="91">
        <v>44044</v>
      </c>
      <c r="S49" s="89">
        <v>44348</v>
      </c>
      <c r="T49" s="89">
        <v>44545</v>
      </c>
      <c r="U49" s="159" t="s">
        <v>231</v>
      </c>
      <c r="V49" s="159"/>
      <c r="W49" s="88" t="s">
        <v>64</v>
      </c>
      <c r="X49" s="88" t="s">
        <v>131</v>
      </c>
      <c r="Y49" s="88" t="s">
        <v>64</v>
      </c>
      <c r="Z49" s="88" t="s">
        <v>64</v>
      </c>
      <c r="AA49" s="88" t="s">
        <v>232</v>
      </c>
      <c r="AB49" s="90" t="s">
        <v>53</v>
      </c>
      <c r="AC49" s="90"/>
      <c r="AD49" s="90"/>
      <c r="AE49" s="90"/>
      <c r="AF49" s="90"/>
      <c r="AG49" s="90"/>
      <c r="AH49" s="90"/>
      <c r="AI49" s="90"/>
      <c r="AJ49" s="88" t="s">
        <v>233</v>
      </c>
      <c r="AK49" s="88"/>
      <c r="AL49" s="90">
        <f>F49/92000</f>
        <v>92.391304347826093</v>
      </c>
      <c r="AM49" s="88" t="s">
        <v>216</v>
      </c>
    </row>
    <row r="50" spans="1:39" ht="51" x14ac:dyDescent="0.25">
      <c r="A50" s="88">
        <v>9</v>
      </c>
      <c r="B50" s="88" t="s">
        <v>195</v>
      </c>
      <c r="C50" s="88" t="s">
        <v>234</v>
      </c>
      <c r="D50" s="88"/>
      <c r="E50" s="88" t="s">
        <v>235</v>
      </c>
      <c r="F50" s="160">
        <v>4000000</v>
      </c>
      <c r="G50" s="160">
        <v>2000000</v>
      </c>
      <c r="H50" s="160">
        <v>2000000</v>
      </c>
      <c r="I50" s="88" t="s">
        <v>236</v>
      </c>
      <c r="J50" s="88"/>
      <c r="K50" s="88"/>
      <c r="L50" s="88">
        <v>270</v>
      </c>
      <c r="M50" s="161">
        <v>0</v>
      </c>
      <c r="N50" s="161">
        <v>0</v>
      </c>
      <c r="O50" s="161">
        <v>0.1</v>
      </c>
      <c r="P50" s="161">
        <v>0.5</v>
      </c>
      <c r="Q50" s="88" t="s">
        <v>131</v>
      </c>
      <c r="R50" s="88"/>
      <c r="S50" s="89">
        <v>44166</v>
      </c>
      <c r="T50" s="89">
        <v>44378</v>
      </c>
      <c r="U50" s="159" t="s">
        <v>237</v>
      </c>
      <c r="V50" s="159" t="s">
        <v>238</v>
      </c>
      <c r="W50" s="88" t="s">
        <v>64</v>
      </c>
      <c r="X50" s="88" t="s">
        <v>64</v>
      </c>
      <c r="Y50" s="88" t="s">
        <v>64</v>
      </c>
      <c r="Z50" s="88" t="s">
        <v>64</v>
      </c>
      <c r="AA50" s="88"/>
      <c r="AB50" s="90"/>
      <c r="AC50" s="90"/>
      <c r="AD50" s="90" t="s">
        <v>53</v>
      </c>
      <c r="AE50" s="90"/>
      <c r="AF50" s="90"/>
      <c r="AG50" s="90"/>
      <c r="AH50" s="90"/>
      <c r="AI50" s="90"/>
      <c r="AJ50" s="88" t="s">
        <v>239</v>
      </c>
      <c r="AK50" s="88"/>
      <c r="AL50" s="90">
        <f>F50/92000</f>
        <v>43.478260869565219</v>
      </c>
      <c r="AM50" s="88" t="s">
        <v>240</v>
      </c>
    </row>
    <row r="51" spans="1:39" ht="83.25" customHeight="1" x14ac:dyDescent="0.25">
      <c r="A51" s="88">
        <v>10</v>
      </c>
      <c r="B51" s="88" t="s">
        <v>195</v>
      </c>
      <c r="C51" s="88" t="s">
        <v>241</v>
      </c>
      <c r="D51" s="88"/>
      <c r="E51" s="88" t="s">
        <v>242</v>
      </c>
      <c r="F51" s="160">
        <v>2800000</v>
      </c>
      <c r="G51" s="160">
        <v>1400000</v>
      </c>
      <c r="H51" s="160">
        <v>1400000</v>
      </c>
      <c r="I51" s="88" t="s">
        <v>243</v>
      </c>
      <c r="J51" s="88"/>
      <c r="K51" s="88"/>
      <c r="L51" s="88">
        <v>0</v>
      </c>
      <c r="M51" s="161">
        <v>0.5</v>
      </c>
      <c r="N51" s="161">
        <v>0.5</v>
      </c>
      <c r="O51" s="88"/>
      <c r="P51" s="88"/>
      <c r="Q51" s="88" t="s">
        <v>131</v>
      </c>
      <c r="R51" s="88"/>
      <c r="S51" s="89">
        <v>44013</v>
      </c>
      <c r="T51" s="89">
        <v>44166</v>
      </c>
      <c r="U51" s="159" t="s">
        <v>244</v>
      </c>
      <c r="V51" s="159"/>
      <c r="W51" s="88" t="s">
        <v>64</v>
      </c>
      <c r="X51" s="88" t="s">
        <v>131</v>
      </c>
      <c r="Y51" s="88" t="s">
        <v>64</v>
      </c>
      <c r="Z51" s="88" t="s">
        <v>64</v>
      </c>
      <c r="AA51" s="88" t="s">
        <v>245</v>
      </c>
      <c r="AB51" s="90"/>
      <c r="AC51" s="90"/>
      <c r="AD51" s="90" t="s">
        <v>53</v>
      </c>
      <c r="AE51" s="90"/>
      <c r="AF51" s="90"/>
      <c r="AG51" s="90"/>
      <c r="AH51" s="90"/>
      <c r="AI51" s="90"/>
      <c r="AJ51" s="88" t="s">
        <v>246</v>
      </c>
      <c r="AK51" s="88"/>
      <c r="AL51" s="90">
        <f>F51/92000</f>
        <v>30.434782608695652</v>
      </c>
      <c r="AM51" s="88" t="s">
        <v>240</v>
      </c>
    </row>
    <row r="52" spans="1:39" ht="76.5" x14ac:dyDescent="0.25">
      <c r="A52" s="88">
        <v>11</v>
      </c>
      <c r="B52" s="88" t="s">
        <v>195</v>
      </c>
      <c r="C52" s="88" t="s">
        <v>247</v>
      </c>
      <c r="D52" s="88"/>
      <c r="E52" s="88" t="s">
        <v>248</v>
      </c>
      <c r="F52" s="158">
        <v>1600000</v>
      </c>
      <c r="G52" s="158">
        <v>800000</v>
      </c>
      <c r="H52" s="158">
        <v>800000</v>
      </c>
      <c r="I52" s="88" t="s">
        <v>236</v>
      </c>
      <c r="J52" s="88"/>
      <c r="K52" s="88"/>
      <c r="L52" s="88">
        <v>0</v>
      </c>
      <c r="M52" s="88">
        <v>30</v>
      </c>
      <c r="N52" s="88">
        <v>60</v>
      </c>
      <c r="O52" s="88">
        <v>100</v>
      </c>
      <c r="P52" s="88"/>
      <c r="Q52" s="88" t="s">
        <v>131</v>
      </c>
      <c r="R52" s="88"/>
      <c r="S52" s="89">
        <v>43952</v>
      </c>
      <c r="T52" s="89">
        <v>44227</v>
      </c>
      <c r="U52" s="159" t="s">
        <v>249</v>
      </c>
      <c r="V52" s="159"/>
      <c r="W52" s="88" t="s">
        <v>64</v>
      </c>
      <c r="X52" s="88" t="s">
        <v>64</v>
      </c>
      <c r="Y52" s="88" t="s">
        <v>64</v>
      </c>
      <c r="Z52" s="88" t="s">
        <v>64</v>
      </c>
      <c r="AA52" s="88"/>
      <c r="AB52" s="90"/>
      <c r="AC52" s="90"/>
      <c r="AD52" s="90" t="s">
        <v>250</v>
      </c>
      <c r="AE52" s="90"/>
      <c r="AF52" s="90"/>
      <c r="AG52" s="90"/>
      <c r="AH52" s="90"/>
      <c r="AI52" s="90"/>
      <c r="AJ52" s="88" t="s">
        <v>52</v>
      </c>
      <c r="AK52" s="88"/>
      <c r="AL52" s="90">
        <v>17.39</v>
      </c>
      <c r="AM52" s="88" t="s">
        <v>210</v>
      </c>
    </row>
    <row r="53" spans="1:39" ht="102" x14ac:dyDescent="0.25">
      <c r="A53" s="88">
        <v>12</v>
      </c>
      <c r="B53" s="88" t="s">
        <v>195</v>
      </c>
      <c r="C53" s="88" t="s">
        <v>251</v>
      </c>
      <c r="D53" s="88"/>
      <c r="E53" s="88" t="s">
        <v>637</v>
      </c>
      <c r="F53" s="160">
        <v>2000000</v>
      </c>
      <c r="G53" s="160">
        <v>1000000</v>
      </c>
      <c r="H53" s="160">
        <v>1000000</v>
      </c>
      <c r="I53" s="88" t="s">
        <v>236</v>
      </c>
      <c r="J53" s="88"/>
      <c r="K53" s="88"/>
      <c r="L53" s="88">
        <v>0</v>
      </c>
      <c r="M53" s="161">
        <v>0.8</v>
      </c>
      <c r="N53" s="161">
        <v>0.2</v>
      </c>
      <c r="O53" s="161"/>
      <c r="P53" s="88"/>
      <c r="Q53" s="88" t="s">
        <v>64</v>
      </c>
      <c r="R53" s="88" t="s">
        <v>252</v>
      </c>
      <c r="S53" s="89">
        <v>44317</v>
      </c>
      <c r="T53" s="89">
        <v>44408</v>
      </c>
      <c r="U53" s="162" t="s">
        <v>214</v>
      </c>
      <c r="V53" s="159"/>
      <c r="W53" s="88" t="s">
        <v>64</v>
      </c>
      <c r="X53" s="88" t="s">
        <v>64</v>
      </c>
      <c r="Y53" s="88" t="s">
        <v>64</v>
      </c>
      <c r="Z53" s="88" t="s">
        <v>64</v>
      </c>
      <c r="AA53" s="88"/>
      <c r="AB53" s="90"/>
      <c r="AC53" s="90"/>
      <c r="AD53" s="90" t="s">
        <v>53</v>
      </c>
      <c r="AE53" s="90"/>
      <c r="AF53" s="90"/>
      <c r="AG53" s="90"/>
      <c r="AH53" s="90"/>
      <c r="AI53" s="90" t="s">
        <v>53</v>
      </c>
      <c r="AJ53" s="88" t="s">
        <v>253</v>
      </c>
      <c r="AK53" s="88"/>
      <c r="AL53" s="90">
        <f>F53/92000</f>
        <v>21.739130434782609</v>
      </c>
      <c r="AM53" s="88" t="s">
        <v>240</v>
      </c>
    </row>
    <row r="54" spans="1:39" ht="86.25" customHeight="1" x14ac:dyDescent="0.25">
      <c r="A54" s="88">
        <v>13</v>
      </c>
      <c r="B54" s="88" t="s">
        <v>195</v>
      </c>
      <c r="C54" s="88" t="s">
        <v>254</v>
      </c>
      <c r="D54" s="88"/>
      <c r="E54" s="88" t="s">
        <v>255</v>
      </c>
      <c r="F54" s="160">
        <v>3000000</v>
      </c>
      <c r="G54" s="160">
        <v>1500000</v>
      </c>
      <c r="H54" s="160">
        <v>1500000</v>
      </c>
      <c r="I54" s="88" t="s">
        <v>243</v>
      </c>
      <c r="J54" s="88"/>
      <c r="K54" s="88"/>
      <c r="L54" s="88">
        <v>270</v>
      </c>
      <c r="M54" s="161">
        <v>0</v>
      </c>
      <c r="N54" s="161">
        <v>0</v>
      </c>
      <c r="O54" s="161">
        <v>0.2</v>
      </c>
      <c r="P54" s="161">
        <v>0.8</v>
      </c>
      <c r="Q54" s="88" t="s">
        <v>64</v>
      </c>
      <c r="R54" s="88" t="s">
        <v>32</v>
      </c>
      <c r="S54" s="89">
        <v>44287</v>
      </c>
      <c r="T54" s="89">
        <v>44438</v>
      </c>
      <c r="U54" s="159" t="s">
        <v>237</v>
      </c>
      <c r="V54" s="159"/>
      <c r="W54" s="88" t="s">
        <v>64</v>
      </c>
      <c r="X54" s="88" t="s">
        <v>131</v>
      </c>
      <c r="Y54" s="88" t="s">
        <v>64</v>
      </c>
      <c r="Z54" s="88" t="s">
        <v>64</v>
      </c>
      <c r="AA54" s="88" t="s">
        <v>245</v>
      </c>
      <c r="AB54" s="90"/>
      <c r="AC54" s="90"/>
      <c r="AD54" s="90" t="s">
        <v>53</v>
      </c>
      <c r="AE54" s="90"/>
      <c r="AF54" s="90"/>
      <c r="AG54" s="90"/>
      <c r="AH54" s="90"/>
      <c r="AI54" s="90"/>
      <c r="AJ54" s="88" t="s">
        <v>246</v>
      </c>
      <c r="AK54" s="88"/>
      <c r="AL54" s="90">
        <f>F54/92000</f>
        <v>32.608695652173914</v>
      </c>
      <c r="AM54" s="88" t="s">
        <v>240</v>
      </c>
    </row>
    <row r="55" spans="1:39" ht="88.5" customHeight="1" x14ac:dyDescent="0.25">
      <c r="A55" s="88">
        <v>14</v>
      </c>
      <c r="B55" s="101" t="s">
        <v>195</v>
      </c>
      <c r="C55" s="101" t="s">
        <v>256</v>
      </c>
      <c r="D55" s="101"/>
      <c r="E55" s="101" t="s">
        <v>257</v>
      </c>
      <c r="F55" s="160">
        <v>8600000</v>
      </c>
      <c r="G55" s="160">
        <v>4300000</v>
      </c>
      <c r="H55" s="160">
        <v>4300000</v>
      </c>
      <c r="I55" s="88" t="s">
        <v>243</v>
      </c>
      <c r="J55" s="88"/>
      <c r="K55" s="88"/>
      <c r="L55" s="88">
        <v>270</v>
      </c>
      <c r="M55" s="88"/>
      <c r="N55" s="88"/>
      <c r="O55" s="161">
        <v>0.1</v>
      </c>
      <c r="P55" s="161">
        <v>0.3</v>
      </c>
      <c r="Q55" s="88" t="s">
        <v>64</v>
      </c>
      <c r="R55" s="88" t="s">
        <v>258</v>
      </c>
      <c r="S55" s="89">
        <v>44287</v>
      </c>
      <c r="T55" s="89">
        <v>44501</v>
      </c>
      <c r="U55" s="159" t="s">
        <v>259</v>
      </c>
      <c r="V55" s="159"/>
      <c r="W55" s="88" t="s">
        <v>64</v>
      </c>
      <c r="X55" s="88" t="s">
        <v>131</v>
      </c>
      <c r="Y55" s="88" t="s">
        <v>64</v>
      </c>
      <c r="Z55" s="88" t="s">
        <v>64</v>
      </c>
      <c r="AA55" s="88" t="s">
        <v>245</v>
      </c>
      <c r="AB55" s="90"/>
      <c r="AC55" s="90"/>
      <c r="AD55" s="90" t="s">
        <v>53</v>
      </c>
      <c r="AE55" s="90"/>
      <c r="AF55" s="90"/>
      <c r="AG55" s="90"/>
      <c r="AH55" s="90"/>
      <c r="AI55" s="90"/>
      <c r="AJ55" s="88" t="s">
        <v>246</v>
      </c>
      <c r="AK55" s="88"/>
      <c r="AL55" s="90">
        <f>F55/92000</f>
        <v>93.478260869565219</v>
      </c>
      <c r="AM55" s="88" t="s">
        <v>240</v>
      </c>
    </row>
    <row r="56" spans="1:39" ht="63.75" x14ac:dyDescent="0.25">
      <c r="A56" s="88">
        <v>15</v>
      </c>
      <c r="B56" s="88" t="s">
        <v>195</v>
      </c>
      <c r="C56" s="88" t="s">
        <v>260</v>
      </c>
      <c r="D56" s="88"/>
      <c r="E56" s="88" t="s">
        <v>638</v>
      </c>
      <c r="F56" s="160">
        <v>500000</v>
      </c>
      <c r="G56" s="160">
        <v>250000</v>
      </c>
      <c r="H56" s="160">
        <v>250000</v>
      </c>
      <c r="I56" s="88" t="s">
        <v>236</v>
      </c>
      <c r="J56" s="88"/>
      <c r="K56" s="88"/>
      <c r="L56" s="88">
        <v>90</v>
      </c>
      <c r="M56" s="161">
        <v>0.2</v>
      </c>
      <c r="N56" s="161">
        <v>0.8</v>
      </c>
      <c r="O56" s="88"/>
      <c r="P56" s="88"/>
      <c r="Q56" s="88" t="s">
        <v>64</v>
      </c>
      <c r="R56" s="88" t="s">
        <v>252</v>
      </c>
      <c r="S56" s="89">
        <v>44013</v>
      </c>
      <c r="T56" s="89">
        <v>44135</v>
      </c>
      <c r="U56" s="159" t="s">
        <v>244</v>
      </c>
      <c r="V56" s="159"/>
      <c r="W56" s="88" t="s">
        <v>64</v>
      </c>
      <c r="X56" s="88" t="s">
        <v>131</v>
      </c>
      <c r="Y56" s="88" t="s">
        <v>64</v>
      </c>
      <c r="Z56" s="88" t="s">
        <v>64</v>
      </c>
      <c r="AA56" s="88" t="s">
        <v>245</v>
      </c>
      <c r="AB56" s="90"/>
      <c r="AC56" s="90"/>
      <c r="AD56" s="90" t="s">
        <v>53</v>
      </c>
      <c r="AE56" s="90"/>
      <c r="AF56" s="90"/>
      <c r="AG56" s="90"/>
      <c r="AH56" s="90"/>
      <c r="AI56" s="90"/>
      <c r="AJ56" s="88" t="s">
        <v>246</v>
      </c>
      <c r="AK56" s="88"/>
      <c r="AL56" s="90">
        <f>F56/92000</f>
        <v>5.4347826086956523</v>
      </c>
      <c r="AM56" s="88" t="s">
        <v>240</v>
      </c>
    </row>
    <row r="57" spans="1:39" ht="76.5" x14ac:dyDescent="0.25">
      <c r="A57" s="88">
        <v>16</v>
      </c>
      <c r="B57" s="88" t="s">
        <v>195</v>
      </c>
      <c r="C57" s="88" t="s">
        <v>261</v>
      </c>
      <c r="D57" s="88"/>
      <c r="E57" s="88" t="s">
        <v>639</v>
      </c>
      <c r="F57" s="158">
        <v>5000000</v>
      </c>
      <c r="G57" s="158">
        <v>2500000</v>
      </c>
      <c r="H57" s="158">
        <v>2500000</v>
      </c>
      <c r="I57" s="88" t="s">
        <v>236</v>
      </c>
      <c r="J57" s="88"/>
      <c r="K57" s="88"/>
      <c r="L57" s="88">
        <v>90</v>
      </c>
      <c r="M57" s="88">
        <v>0</v>
      </c>
      <c r="N57" s="88">
        <v>30</v>
      </c>
      <c r="O57" s="88">
        <v>75</v>
      </c>
      <c r="P57" s="88">
        <v>100</v>
      </c>
      <c r="Q57" s="88" t="s">
        <v>131</v>
      </c>
      <c r="R57" s="88"/>
      <c r="S57" s="89">
        <v>44013</v>
      </c>
      <c r="T57" s="89">
        <v>44378</v>
      </c>
      <c r="U57" s="159" t="s">
        <v>640</v>
      </c>
      <c r="V57" s="159"/>
      <c r="W57" s="88" t="s">
        <v>64</v>
      </c>
      <c r="X57" s="88" t="s">
        <v>131</v>
      </c>
      <c r="Y57" s="88" t="s">
        <v>64</v>
      </c>
      <c r="Z57" s="88" t="s">
        <v>64</v>
      </c>
      <c r="AA57" s="88" t="s">
        <v>245</v>
      </c>
      <c r="AB57" s="90"/>
      <c r="AC57" s="90"/>
      <c r="AD57" s="90" t="s">
        <v>250</v>
      </c>
      <c r="AE57" s="90"/>
      <c r="AF57" s="90"/>
      <c r="AG57" s="90"/>
      <c r="AH57" s="90"/>
      <c r="AI57" s="90"/>
      <c r="AJ57" s="88" t="s">
        <v>52</v>
      </c>
      <c r="AK57" s="88"/>
      <c r="AL57" s="90">
        <v>54.35</v>
      </c>
      <c r="AM57" s="88" t="s">
        <v>210</v>
      </c>
    </row>
    <row r="58" spans="1:39" ht="63.75" x14ac:dyDescent="0.25">
      <c r="A58" s="88">
        <v>17</v>
      </c>
      <c r="B58" s="88" t="s">
        <v>195</v>
      </c>
      <c r="C58" s="88" t="s">
        <v>262</v>
      </c>
      <c r="D58" s="88"/>
      <c r="E58" s="88" t="s">
        <v>263</v>
      </c>
      <c r="F58" s="160">
        <v>1800000</v>
      </c>
      <c r="G58" s="160">
        <v>900000</v>
      </c>
      <c r="H58" s="160">
        <v>900000</v>
      </c>
      <c r="I58" s="88" t="s">
        <v>236</v>
      </c>
      <c r="J58" s="88"/>
      <c r="K58" s="88"/>
      <c r="L58" s="88">
        <v>90</v>
      </c>
      <c r="M58" s="161">
        <v>0.1</v>
      </c>
      <c r="N58" s="161">
        <v>0.8</v>
      </c>
      <c r="O58" s="161">
        <v>0.1</v>
      </c>
      <c r="P58" s="88"/>
      <c r="Q58" s="88" t="s">
        <v>64</v>
      </c>
      <c r="R58" s="88" t="s">
        <v>252</v>
      </c>
      <c r="S58" s="89">
        <v>43983</v>
      </c>
      <c r="T58" s="89">
        <v>44135</v>
      </c>
      <c r="U58" s="159" t="s">
        <v>264</v>
      </c>
      <c r="V58" s="159"/>
      <c r="W58" s="88" t="s">
        <v>64</v>
      </c>
      <c r="X58" s="88" t="s">
        <v>64</v>
      </c>
      <c r="Y58" s="88" t="s">
        <v>64</v>
      </c>
      <c r="Z58" s="88" t="s">
        <v>64</v>
      </c>
      <c r="AA58" s="88"/>
      <c r="AB58" s="90"/>
      <c r="AC58" s="90"/>
      <c r="AD58" s="90" t="s">
        <v>53</v>
      </c>
      <c r="AE58" s="90"/>
      <c r="AF58" s="90"/>
      <c r="AG58" s="90"/>
      <c r="AH58" s="90"/>
      <c r="AI58" s="90"/>
      <c r="AJ58" s="88" t="s">
        <v>246</v>
      </c>
      <c r="AK58" s="88"/>
      <c r="AL58" s="90">
        <f>F58/92000</f>
        <v>19.565217391304348</v>
      </c>
      <c r="AM58" s="88" t="s">
        <v>240</v>
      </c>
    </row>
    <row r="59" spans="1:39" ht="89.25" x14ac:dyDescent="0.25">
      <c r="A59" s="88">
        <v>18</v>
      </c>
      <c r="B59" s="88" t="s">
        <v>195</v>
      </c>
      <c r="C59" s="88" t="s">
        <v>265</v>
      </c>
      <c r="D59" s="88"/>
      <c r="E59" s="88" t="s">
        <v>266</v>
      </c>
      <c r="F59" s="160">
        <v>325000</v>
      </c>
      <c r="G59" s="160">
        <v>162500</v>
      </c>
      <c r="H59" s="160">
        <v>162500</v>
      </c>
      <c r="I59" s="88" t="s">
        <v>221</v>
      </c>
      <c r="J59" s="88"/>
      <c r="K59" s="88"/>
      <c r="L59" s="88">
        <v>90</v>
      </c>
      <c r="M59" s="88"/>
      <c r="N59" s="161">
        <v>1</v>
      </c>
      <c r="O59" s="88"/>
      <c r="P59" s="88"/>
      <c r="Q59" s="88" t="s">
        <v>64</v>
      </c>
      <c r="R59" s="88" t="s">
        <v>252</v>
      </c>
      <c r="S59" s="89">
        <v>43952</v>
      </c>
      <c r="T59" s="89">
        <v>44074</v>
      </c>
      <c r="U59" s="159" t="s">
        <v>267</v>
      </c>
      <c r="V59" s="159"/>
      <c r="W59" s="88" t="s">
        <v>64</v>
      </c>
      <c r="X59" s="88" t="s">
        <v>131</v>
      </c>
      <c r="Y59" s="88" t="s">
        <v>64</v>
      </c>
      <c r="Z59" s="88" t="s">
        <v>64</v>
      </c>
      <c r="AA59" s="88" t="s">
        <v>268</v>
      </c>
      <c r="AB59" s="90"/>
      <c r="AC59" s="90"/>
      <c r="AD59" s="90"/>
      <c r="AE59" s="90"/>
      <c r="AF59" s="90" t="s">
        <v>53</v>
      </c>
      <c r="AG59" s="90"/>
      <c r="AH59" s="90"/>
      <c r="AI59" s="90"/>
      <c r="AJ59" s="88" t="s">
        <v>224</v>
      </c>
      <c r="AK59" s="88"/>
      <c r="AL59" s="90">
        <f>F59/92000</f>
        <v>3.5326086956521738</v>
      </c>
      <c r="AM59" s="88" t="s">
        <v>269</v>
      </c>
    </row>
    <row r="60" spans="1:39" ht="76.5" x14ac:dyDescent="0.25">
      <c r="A60" s="88">
        <v>19</v>
      </c>
      <c r="B60" s="88" t="s">
        <v>195</v>
      </c>
      <c r="C60" s="88" t="s">
        <v>270</v>
      </c>
      <c r="D60" s="88"/>
      <c r="E60" s="88" t="s">
        <v>271</v>
      </c>
      <c r="F60" s="160">
        <v>1000000</v>
      </c>
      <c r="G60" s="160">
        <v>500000</v>
      </c>
      <c r="H60" s="160">
        <v>500000</v>
      </c>
      <c r="I60" s="88" t="s">
        <v>221</v>
      </c>
      <c r="J60" s="88"/>
      <c r="K60" s="88"/>
      <c r="L60" s="88">
        <v>270</v>
      </c>
      <c r="M60" s="88"/>
      <c r="N60" s="88"/>
      <c r="O60" s="88"/>
      <c r="P60" s="88">
        <v>60</v>
      </c>
      <c r="Q60" s="88" t="s">
        <v>64</v>
      </c>
      <c r="R60" s="91">
        <v>44044</v>
      </c>
      <c r="S60" s="89">
        <v>44105</v>
      </c>
      <c r="T60" s="89">
        <v>44287</v>
      </c>
      <c r="U60" s="159" t="s">
        <v>272</v>
      </c>
      <c r="V60" s="159"/>
      <c r="W60" s="88" t="s">
        <v>64</v>
      </c>
      <c r="X60" s="88" t="s">
        <v>131</v>
      </c>
      <c r="Y60" s="88" t="s">
        <v>64</v>
      </c>
      <c r="Z60" s="88" t="s">
        <v>64</v>
      </c>
      <c r="AA60" s="88" t="s">
        <v>268</v>
      </c>
      <c r="AB60" s="90" t="s">
        <v>53</v>
      </c>
      <c r="AC60" s="90"/>
      <c r="AD60" s="90"/>
      <c r="AE60" s="90"/>
      <c r="AF60" s="90"/>
      <c r="AG60" s="90"/>
      <c r="AH60" s="90"/>
      <c r="AI60" s="90"/>
      <c r="AJ60" s="88" t="s">
        <v>273</v>
      </c>
      <c r="AK60" s="88"/>
      <c r="AL60" s="90">
        <f t="shared" si="5"/>
        <v>10.869565217391305</v>
      </c>
      <c r="AM60" s="88" t="s">
        <v>203</v>
      </c>
    </row>
    <row r="61" spans="1:39" ht="51" x14ac:dyDescent="0.25">
      <c r="A61" s="88">
        <v>20</v>
      </c>
      <c r="B61" s="88" t="s">
        <v>195</v>
      </c>
      <c r="C61" s="88" t="s">
        <v>274</v>
      </c>
      <c r="D61" s="88"/>
      <c r="E61" s="88" t="s">
        <v>275</v>
      </c>
      <c r="F61" s="160">
        <v>700000</v>
      </c>
      <c r="G61" s="160">
        <v>350000</v>
      </c>
      <c r="H61" s="160">
        <v>350000</v>
      </c>
      <c r="I61" s="88" t="s">
        <v>221</v>
      </c>
      <c r="J61" s="88"/>
      <c r="K61" s="88"/>
      <c r="L61" s="88">
        <v>180</v>
      </c>
      <c r="M61" s="88"/>
      <c r="N61" s="88">
        <v>20</v>
      </c>
      <c r="O61" s="88">
        <v>100</v>
      </c>
      <c r="P61" s="88"/>
      <c r="Q61" s="88" t="s">
        <v>64</v>
      </c>
      <c r="R61" s="88" t="s">
        <v>252</v>
      </c>
      <c r="S61" s="89">
        <v>44075</v>
      </c>
      <c r="T61" s="89">
        <v>44256</v>
      </c>
      <c r="U61" s="159" t="s">
        <v>276</v>
      </c>
      <c r="V61" s="159"/>
      <c r="W61" s="88" t="s">
        <v>64</v>
      </c>
      <c r="X61" s="88" t="s">
        <v>131</v>
      </c>
      <c r="Y61" s="88" t="s">
        <v>64</v>
      </c>
      <c r="Z61" s="88" t="s">
        <v>64</v>
      </c>
      <c r="AA61" s="88" t="s">
        <v>268</v>
      </c>
      <c r="AB61" s="90" t="s">
        <v>53</v>
      </c>
      <c r="AC61" s="90"/>
      <c r="AD61" s="90"/>
      <c r="AE61" s="90"/>
      <c r="AF61" s="90"/>
      <c r="AG61" s="90"/>
      <c r="AH61" s="90"/>
      <c r="AI61" s="90"/>
      <c r="AJ61" s="88" t="s">
        <v>224</v>
      </c>
      <c r="AK61" s="88"/>
      <c r="AL61" s="90">
        <f t="shared" si="5"/>
        <v>7.6086956521739131</v>
      </c>
      <c r="AM61" s="88" t="s">
        <v>225</v>
      </c>
    </row>
    <row r="62" spans="1:39" ht="76.5" x14ac:dyDescent="0.25">
      <c r="A62" s="88">
        <v>21</v>
      </c>
      <c r="B62" s="88" t="s">
        <v>195</v>
      </c>
      <c r="C62" s="88" t="s">
        <v>277</v>
      </c>
      <c r="D62" s="88"/>
      <c r="E62" s="88" t="s">
        <v>278</v>
      </c>
      <c r="F62" s="158">
        <v>400000</v>
      </c>
      <c r="G62" s="158">
        <v>200000</v>
      </c>
      <c r="H62" s="158">
        <v>200000</v>
      </c>
      <c r="I62" s="88" t="s">
        <v>236</v>
      </c>
      <c r="J62" s="88"/>
      <c r="K62" s="88"/>
      <c r="L62" s="88">
        <v>90</v>
      </c>
      <c r="M62" s="88">
        <v>0</v>
      </c>
      <c r="N62" s="88">
        <v>50</v>
      </c>
      <c r="O62" s="88">
        <v>100</v>
      </c>
      <c r="P62" s="88"/>
      <c r="Q62" s="88" t="s">
        <v>131</v>
      </c>
      <c r="R62" s="88"/>
      <c r="S62" s="89">
        <v>44013</v>
      </c>
      <c r="T62" s="89">
        <v>44136</v>
      </c>
      <c r="U62" s="159" t="s">
        <v>279</v>
      </c>
      <c r="V62" s="159"/>
      <c r="W62" s="88" t="s">
        <v>64</v>
      </c>
      <c r="X62" s="88" t="s">
        <v>64</v>
      </c>
      <c r="Y62" s="88" t="s">
        <v>64</v>
      </c>
      <c r="Z62" s="88" t="s">
        <v>64</v>
      </c>
      <c r="AA62" s="88"/>
      <c r="AB62" s="90"/>
      <c r="AC62" s="90"/>
      <c r="AD62" s="90" t="s">
        <v>250</v>
      </c>
      <c r="AE62" s="90"/>
      <c r="AF62" s="90"/>
      <c r="AG62" s="90"/>
      <c r="AH62" s="90"/>
      <c r="AI62" s="90"/>
      <c r="AJ62" s="88" t="s">
        <v>52</v>
      </c>
      <c r="AK62" s="88"/>
      <c r="AL62" s="90">
        <v>4.3499999999999996</v>
      </c>
      <c r="AM62" s="88" t="s">
        <v>210</v>
      </c>
    </row>
    <row r="63" spans="1:39" ht="64.5" thickBot="1" x14ac:dyDescent="0.3">
      <c r="A63" s="150">
        <v>22</v>
      </c>
      <c r="B63" s="150" t="s">
        <v>195</v>
      </c>
      <c r="C63" s="150" t="s">
        <v>280</v>
      </c>
      <c r="D63" s="150"/>
      <c r="E63" s="150" t="s">
        <v>281</v>
      </c>
      <c r="F63" s="151">
        <v>2500000</v>
      </c>
      <c r="G63" s="151">
        <v>1250000</v>
      </c>
      <c r="H63" s="151">
        <v>1250000</v>
      </c>
      <c r="I63" s="150" t="s">
        <v>236</v>
      </c>
      <c r="J63" s="150"/>
      <c r="K63" s="150"/>
      <c r="L63" s="150">
        <v>180</v>
      </c>
      <c r="M63" s="150">
        <v>0</v>
      </c>
      <c r="N63" s="150">
        <v>20</v>
      </c>
      <c r="O63" s="150">
        <v>75</v>
      </c>
      <c r="P63" s="150">
        <v>100</v>
      </c>
      <c r="Q63" s="150" t="s">
        <v>131</v>
      </c>
      <c r="R63" s="150"/>
      <c r="S63" s="163">
        <v>44075</v>
      </c>
      <c r="T63" s="163">
        <v>44287</v>
      </c>
      <c r="U63" s="164" t="s">
        <v>282</v>
      </c>
      <c r="V63" s="164"/>
      <c r="W63" s="150" t="s">
        <v>64</v>
      </c>
      <c r="X63" s="150" t="s">
        <v>64</v>
      </c>
      <c r="Y63" s="150" t="s">
        <v>64</v>
      </c>
      <c r="Z63" s="150" t="s">
        <v>64</v>
      </c>
      <c r="AA63" s="150"/>
      <c r="AB63" s="154"/>
      <c r="AC63" s="154"/>
      <c r="AD63" s="154" t="s">
        <v>250</v>
      </c>
      <c r="AE63" s="154"/>
      <c r="AF63" s="154"/>
      <c r="AG63" s="154"/>
      <c r="AH63" s="154"/>
      <c r="AI63" s="154"/>
      <c r="AJ63" s="150" t="s">
        <v>52</v>
      </c>
      <c r="AK63" s="150"/>
      <c r="AL63" s="154">
        <v>27.17</v>
      </c>
      <c r="AM63" s="150" t="s">
        <v>210</v>
      </c>
    </row>
    <row r="64" spans="1:39" ht="76.5" x14ac:dyDescent="0.25">
      <c r="A64" s="116">
        <v>1</v>
      </c>
      <c r="B64" s="117" t="s">
        <v>283</v>
      </c>
      <c r="C64" s="117" t="s">
        <v>284</v>
      </c>
      <c r="D64" s="267" t="s">
        <v>681</v>
      </c>
      <c r="E64" s="117" t="s">
        <v>285</v>
      </c>
      <c r="F64" s="128">
        <v>6200000</v>
      </c>
      <c r="G64" s="165">
        <f>0.5*F64</f>
        <v>3100000</v>
      </c>
      <c r="H64" s="165">
        <f>F64-G64</f>
        <v>3100000</v>
      </c>
      <c r="I64" s="116" t="s">
        <v>286</v>
      </c>
      <c r="J64" s="116"/>
      <c r="K64" s="116"/>
      <c r="L64" s="116">
        <v>180</v>
      </c>
      <c r="M64" s="129"/>
      <c r="N64" s="130">
        <v>200000</v>
      </c>
      <c r="O64" s="130">
        <v>2200000</v>
      </c>
      <c r="P64" s="130">
        <f>F64-M64-N64-O64</f>
        <v>3800000</v>
      </c>
      <c r="Q64" s="116" t="s">
        <v>64</v>
      </c>
      <c r="R64" s="131">
        <v>44075</v>
      </c>
      <c r="S64" s="131">
        <v>44105</v>
      </c>
      <c r="T64" s="131">
        <v>44348</v>
      </c>
      <c r="U64" s="121" t="s">
        <v>287</v>
      </c>
      <c r="V64" s="166" t="s">
        <v>288</v>
      </c>
      <c r="W64" s="116" t="s">
        <v>64</v>
      </c>
      <c r="X64" s="116" t="s">
        <v>131</v>
      </c>
      <c r="Y64" s="116" t="s">
        <v>64</v>
      </c>
      <c r="Z64" s="116" t="s">
        <v>64</v>
      </c>
      <c r="AA64" s="117" t="s">
        <v>289</v>
      </c>
      <c r="AB64" s="122"/>
      <c r="AC64" s="122"/>
      <c r="AD64" s="122"/>
      <c r="AE64" s="122"/>
      <c r="AF64" s="122"/>
      <c r="AG64" s="122"/>
      <c r="AH64" s="122"/>
      <c r="AI64" s="122" t="s">
        <v>53</v>
      </c>
      <c r="AJ64" s="117" t="s">
        <v>289</v>
      </c>
      <c r="AK64" s="116"/>
      <c r="AL64" s="122">
        <f t="shared" ref="AL64:AL74" si="6">F64/92000</f>
        <v>67.391304347826093</v>
      </c>
      <c r="AM64" s="117" t="s">
        <v>290</v>
      </c>
    </row>
    <row r="65" spans="1:39" ht="76.5" x14ac:dyDescent="0.25">
      <c r="A65" s="97">
        <v>3</v>
      </c>
      <c r="B65" s="93" t="s">
        <v>283</v>
      </c>
      <c r="C65" s="93" t="s">
        <v>291</v>
      </c>
      <c r="D65" s="265" t="s">
        <v>681</v>
      </c>
      <c r="E65" s="93" t="s">
        <v>292</v>
      </c>
      <c r="F65" s="132">
        <v>620000</v>
      </c>
      <c r="G65" s="167">
        <f>0.5*F65</f>
        <v>310000</v>
      </c>
      <c r="H65" s="167">
        <f>F65-G65</f>
        <v>310000</v>
      </c>
      <c r="I65" s="97" t="s">
        <v>286</v>
      </c>
      <c r="J65" s="97"/>
      <c r="K65" s="97"/>
      <c r="L65" s="97">
        <v>270</v>
      </c>
      <c r="M65" s="99"/>
      <c r="N65" s="98">
        <v>200000</v>
      </c>
      <c r="O65" s="99">
        <f>F65-N65</f>
        <v>420000</v>
      </c>
      <c r="P65" s="99"/>
      <c r="Q65" s="97" t="s">
        <v>64</v>
      </c>
      <c r="R65" s="100">
        <v>44136</v>
      </c>
      <c r="S65" s="100">
        <v>44166</v>
      </c>
      <c r="T65" s="100">
        <v>44256</v>
      </c>
      <c r="U65" s="126" t="s">
        <v>293</v>
      </c>
      <c r="V65" s="126" t="s">
        <v>288</v>
      </c>
      <c r="W65" s="97" t="s">
        <v>64</v>
      </c>
      <c r="X65" s="97" t="s">
        <v>131</v>
      </c>
      <c r="Y65" s="97" t="s">
        <v>64</v>
      </c>
      <c r="Z65" s="97" t="s">
        <v>64</v>
      </c>
      <c r="AA65" s="93" t="s">
        <v>289</v>
      </c>
      <c r="AB65" s="96" t="s">
        <v>53</v>
      </c>
      <c r="AC65" s="96"/>
      <c r="AD65" s="96"/>
      <c r="AE65" s="96"/>
      <c r="AF65" s="96"/>
      <c r="AG65" s="96"/>
      <c r="AH65" s="96"/>
      <c r="AI65" s="96" t="s">
        <v>53</v>
      </c>
      <c r="AJ65" s="93" t="s">
        <v>289</v>
      </c>
      <c r="AK65" s="97"/>
      <c r="AL65" s="96">
        <f t="shared" si="6"/>
        <v>6.7391304347826084</v>
      </c>
      <c r="AM65" s="93" t="s">
        <v>290</v>
      </c>
    </row>
    <row r="66" spans="1:39" ht="76.5" x14ac:dyDescent="0.25">
      <c r="A66" s="97">
        <v>2</v>
      </c>
      <c r="B66" s="93" t="s">
        <v>283</v>
      </c>
      <c r="C66" s="93" t="s">
        <v>294</v>
      </c>
      <c r="D66" s="265" t="s">
        <v>681</v>
      </c>
      <c r="E66" s="93" t="s">
        <v>295</v>
      </c>
      <c r="F66" s="132">
        <v>700000</v>
      </c>
      <c r="G66" s="167">
        <f>0.5*F66</f>
        <v>350000</v>
      </c>
      <c r="H66" s="167">
        <f>F66-G66</f>
        <v>350000</v>
      </c>
      <c r="I66" s="97" t="s">
        <v>286</v>
      </c>
      <c r="J66" s="97"/>
      <c r="K66" s="97"/>
      <c r="L66" s="97">
        <v>365</v>
      </c>
      <c r="M66" s="99"/>
      <c r="N66" s="98"/>
      <c r="O66" s="99">
        <v>100000</v>
      </c>
      <c r="P66" s="98">
        <v>600000</v>
      </c>
      <c r="Q66" s="97" t="s">
        <v>64</v>
      </c>
      <c r="R66" s="100">
        <v>44228</v>
      </c>
      <c r="S66" s="100">
        <v>44256</v>
      </c>
      <c r="T66" s="100">
        <v>44470</v>
      </c>
      <c r="U66" s="126" t="s">
        <v>296</v>
      </c>
      <c r="V66" s="126" t="s">
        <v>288</v>
      </c>
      <c r="W66" s="97" t="s">
        <v>64</v>
      </c>
      <c r="X66" s="97" t="s">
        <v>64</v>
      </c>
      <c r="Y66" s="97" t="s">
        <v>64</v>
      </c>
      <c r="Z66" s="97" t="s">
        <v>64</v>
      </c>
      <c r="AA66" s="93" t="s">
        <v>289</v>
      </c>
      <c r="AB66" s="96"/>
      <c r="AC66" s="96" t="s">
        <v>53</v>
      </c>
      <c r="AD66" s="96"/>
      <c r="AE66" s="96"/>
      <c r="AF66" s="96"/>
      <c r="AG66" s="96"/>
      <c r="AH66" s="96"/>
      <c r="AI66" s="96" t="s">
        <v>53</v>
      </c>
      <c r="AJ66" s="93" t="s">
        <v>289</v>
      </c>
      <c r="AK66" s="97"/>
      <c r="AL66" s="96">
        <f t="shared" si="6"/>
        <v>7.6086956521739131</v>
      </c>
      <c r="AM66" s="93" t="s">
        <v>290</v>
      </c>
    </row>
    <row r="67" spans="1:39" ht="76.5" x14ac:dyDescent="0.25">
      <c r="A67" s="97">
        <v>2</v>
      </c>
      <c r="B67" s="93" t="s">
        <v>283</v>
      </c>
      <c r="C67" s="93" t="s">
        <v>297</v>
      </c>
      <c r="D67" s="265" t="s">
        <v>682</v>
      </c>
      <c r="E67" s="93" t="s">
        <v>298</v>
      </c>
      <c r="F67" s="132">
        <v>575000</v>
      </c>
      <c r="G67" s="167">
        <f>0.5*F67</f>
        <v>287500</v>
      </c>
      <c r="H67" s="167">
        <f>F67-G67</f>
        <v>287500</v>
      </c>
      <c r="I67" s="97" t="s">
        <v>299</v>
      </c>
      <c r="J67" s="97"/>
      <c r="K67" s="97"/>
      <c r="L67" s="97">
        <v>270</v>
      </c>
      <c r="M67" s="98">
        <v>125000</v>
      </c>
      <c r="N67" s="98">
        <v>25000</v>
      </c>
      <c r="O67" s="98">
        <v>125000</v>
      </c>
      <c r="P67" s="99">
        <f>F67-M67-N67-O67</f>
        <v>300000</v>
      </c>
      <c r="Q67" s="97" t="s">
        <v>64</v>
      </c>
      <c r="R67" s="100">
        <v>44044</v>
      </c>
      <c r="S67" s="100">
        <v>44136</v>
      </c>
      <c r="T67" s="100">
        <v>44256</v>
      </c>
      <c r="U67" s="124" t="s">
        <v>300</v>
      </c>
      <c r="V67" s="124" t="s">
        <v>301</v>
      </c>
      <c r="W67" s="97" t="s">
        <v>64</v>
      </c>
      <c r="X67" s="97" t="s">
        <v>64</v>
      </c>
      <c r="Y67" s="97" t="s">
        <v>131</v>
      </c>
      <c r="Z67" s="97" t="s">
        <v>64</v>
      </c>
      <c r="AA67" s="93" t="s">
        <v>289</v>
      </c>
      <c r="AB67" s="96" t="s">
        <v>53</v>
      </c>
      <c r="AC67" s="96"/>
      <c r="AD67" s="96"/>
      <c r="AE67" s="96"/>
      <c r="AF67" s="96"/>
      <c r="AG67" s="96"/>
      <c r="AH67" s="96" t="s">
        <v>53</v>
      </c>
      <c r="AI67" s="96"/>
      <c r="AJ67" s="93" t="s">
        <v>289</v>
      </c>
      <c r="AK67" s="97"/>
      <c r="AL67" s="96">
        <f t="shared" si="6"/>
        <v>6.25</v>
      </c>
      <c r="AM67" s="93" t="s">
        <v>290</v>
      </c>
    </row>
    <row r="68" spans="1:39" ht="76.5" x14ac:dyDescent="0.25">
      <c r="A68" s="97">
        <v>3</v>
      </c>
      <c r="B68" s="93" t="s">
        <v>283</v>
      </c>
      <c r="C68" s="93" t="s">
        <v>302</v>
      </c>
      <c r="D68" s="265" t="s">
        <v>683</v>
      </c>
      <c r="E68" s="93" t="s">
        <v>303</v>
      </c>
      <c r="F68" s="132">
        <v>1700000</v>
      </c>
      <c r="G68" s="132">
        <f>0.5*F68</f>
        <v>850000</v>
      </c>
      <c r="H68" s="132">
        <f>F68-G68</f>
        <v>850000</v>
      </c>
      <c r="I68" s="97" t="s">
        <v>299</v>
      </c>
      <c r="J68" s="97"/>
      <c r="K68" s="97"/>
      <c r="L68" s="97">
        <v>365</v>
      </c>
      <c r="M68" s="98">
        <v>100000</v>
      </c>
      <c r="N68" s="98">
        <v>100000</v>
      </c>
      <c r="O68" s="98">
        <v>500000</v>
      </c>
      <c r="P68" s="98">
        <v>1000000</v>
      </c>
      <c r="Q68" s="97" t="s">
        <v>64</v>
      </c>
      <c r="R68" s="100">
        <v>44228</v>
      </c>
      <c r="S68" s="100">
        <v>44256</v>
      </c>
      <c r="T68" s="100">
        <v>44409</v>
      </c>
      <c r="U68" s="126" t="s">
        <v>296</v>
      </c>
      <c r="V68" s="126" t="s">
        <v>288</v>
      </c>
      <c r="W68" s="97" t="s">
        <v>64</v>
      </c>
      <c r="X68" s="97" t="s">
        <v>64</v>
      </c>
      <c r="Y68" s="97" t="s">
        <v>64</v>
      </c>
      <c r="Z68" s="97" t="s">
        <v>64</v>
      </c>
      <c r="AA68" s="93" t="s">
        <v>289</v>
      </c>
      <c r="AB68" s="96"/>
      <c r="AC68" s="96" t="s">
        <v>53</v>
      </c>
      <c r="AD68" s="96"/>
      <c r="AE68" s="96"/>
      <c r="AF68" s="96"/>
      <c r="AG68" s="96"/>
      <c r="AH68" s="96"/>
      <c r="AI68" s="96"/>
      <c r="AJ68" s="93" t="s">
        <v>289</v>
      </c>
      <c r="AK68" s="97"/>
      <c r="AL68" s="96">
        <f t="shared" si="6"/>
        <v>18.478260869565219</v>
      </c>
      <c r="AM68" s="93" t="s">
        <v>290</v>
      </c>
    </row>
    <row r="69" spans="1:39" ht="76.5" x14ac:dyDescent="0.25">
      <c r="A69" s="97">
        <v>1</v>
      </c>
      <c r="B69" s="93" t="s">
        <v>283</v>
      </c>
      <c r="C69" s="93" t="s">
        <v>304</v>
      </c>
      <c r="D69" s="265" t="s">
        <v>684</v>
      </c>
      <c r="E69" s="93" t="s">
        <v>305</v>
      </c>
      <c r="F69" s="132">
        <v>1250000</v>
      </c>
      <c r="G69" s="132">
        <f t="shared" ref="G69:G70" si="7">0.5*F69</f>
        <v>625000</v>
      </c>
      <c r="H69" s="132">
        <f t="shared" ref="H69:H70" si="8">F69-G69</f>
        <v>625000</v>
      </c>
      <c r="I69" s="97" t="s">
        <v>299</v>
      </c>
      <c r="J69" s="97"/>
      <c r="K69" s="97"/>
      <c r="L69" s="97">
        <v>365</v>
      </c>
      <c r="M69" s="99"/>
      <c r="N69" s="98">
        <v>150000</v>
      </c>
      <c r="O69" s="99"/>
      <c r="P69" s="98">
        <v>1100000</v>
      </c>
      <c r="Q69" s="97" t="s">
        <v>64</v>
      </c>
      <c r="R69" s="100">
        <v>44136</v>
      </c>
      <c r="S69" s="100">
        <v>44197</v>
      </c>
      <c r="T69" s="100">
        <v>44348</v>
      </c>
      <c r="U69" s="126" t="s">
        <v>296</v>
      </c>
      <c r="V69" s="124" t="s">
        <v>306</v>
      </c>
      <c r="W69" s="97" t="s">
        <v>64</v>
      </c>
      <c r="X69" s="97" t="s">
        <v>131</v>
      </c>
      <c r="Y69" s="97" t="s">
        <v>64</v>
      </c>
      <c r="Z69" s="97" t="s">
        <v>64</v>
      </c>
      <c r="AA69" s="93" t="s">
        <v>289</v>
      </c>
      <c r="AB69" s="96" t="s">
        <v>53</v>
      </c>
      <c r="AC69" s="96"/>
      <c r="AD69" s="96"/>
      <c r="AE69" s="96"/>
      <c r="AF69" s="96" t="s">
        <v>53</v>
      </c>
      <c r="AG69" s="96"/>
      <c r="AH69" s="96"/>
      <c r="AI69" s="96"/>
      <c r="AJ69" s="93" t="s">
        <v>289</v>
      </c>
      <c r="AK69" s="97"/>
      <c r="AL69" s="96">
        <f t="shared" si="6"/>
        <v>13.586956521739131</v>
      </c>
      <c r="AM69" s="93" t="s">
        <v>290</v>
      </c>
    </row>
    <row r="70" spans="1:39" ht="76.5" x14ac:dyDescent="0.25">
      <c r="A70" s="97">
        <v>3</v>
      </c>
      <c r="B70" s="93" t="s">
        <v>283</v>
      </c>
      <c r="C70" s="93" t="s">
        <v>307</v>
      </c>
      <c r="D70" s="265" t="s">
        <v>685</v>
      </c>
      <c r="E70" s="93" t="s">
        <v>308</v>
      </c>
      <c r="F70" s="132">
        <v>730000</v>
      </c>
      <c r="G70" s="132">
        <f t="shared" si="7"/>
        <v>365000</v>
      </c>
      <c r="H70" s="132">
        <f t="shared" si="8"/>
        <v>365000</v>
      </c>
      <c r="I70" s="97" t="s">
        <v>299</v>
      </c>
      <c r="J70" s="97"/>
      <c r="K70" s="97"/>
      <c r="L70" s="97">
        <v>270</v>
      </c>
      <c r="M70" s="98">
        <v>50000</v>
      </c>
      <c r="N70" s="98">
        <v>630000</v>
      </c>
      <c r="O70" s="98">
        <v>50000</v>
      </c>
      <c r="P70" s="98"/>
      <c r="Q70" s="97" t="s">
        <v>64</v>
      </c>
      <c r="R70" s="100">
        <v>44075</v>
      </c>
      <c r="S70" s="100">
        <v>44105</v>
      </c>
      <c r="T70" s="100">
        <v>44197</v>
      </c>
      <c r="U70" s="126" t="s">
        <v>296</v>
      </c>
      <c r="V70" s="124" t="s">
        <v>288</v>
      </c>
      <c r="W70" s="97" t="s">
        <v>64</v>
      </c>
      <c r="X70" s="97" t="s">
        <v>64</v>
      </c>
      <c r="Y70" s="97" t="s">
        <v>64</v>
      </c>
      <c r="Z70" s="97" t="s">
        <v>64</v>
      </c>
      <c r="AA70" s="93" t="s">
        <v>289</v>
      </c>
      <c r="AB70" s="96"/>
      <c r="AC70" s="96" t="s">
        <v>53</v>
      </c>
      <c r="AD70" s="96"/>
      <c r="AE70" s="96"/>
      <c r="AF70" s="96"/>
      <c r="AG70" s="96"/>
      <c r="AH70" s="96"/>
      <c r="AI70" s="96"/>
      <c r="AJ70" s="93" t="s">
        <v>289</v>
      </c>
      <c r="AK70" s="97"/>
      <c r="AL70" s="96">
        <f t="shared" si="6"/>
        <v>7.9347826086956523</v>
      </c>
      <c r="AM70" s="93" t="s">
        <v>290</v>
      </c>
    </row>
    <row r="71" spans="1:39" ht="76.5" x14ac:dyDescent="0.25">
      <c r="A71" s="97">
        <v>2</v>
      </c>
      <c r="B71" s="93" t="s">
        <v>283</v>
      </c>
      <c r="C71" s="93" t="s">
        <v>309</v>
      </c>
      <c r="D71" s="265" t="s">
        <v>686</v>
      </c>
      <c r="E71" s="93" t="s">
        <v>310</v>
      </c>
      <c r="F71" s="132">
        <v>2700000</v>
      </c>
      <c r="G71" s="167">
        <f>0.5*F71</f>
        <v>1350000</v>
      </c>
      <c r="H71" s="167">
        <f t="shared" ref="H71:H77" si="9">F71-G71</f>
        <v>1350000</v>
      </c>
      <c r="I71" s="97" t="s">
        <v>299</v>
      </c>
      <c r="J71" s="97"/>
      <c r="K71" s="97"/>
      <c r="L71" s="97">
        <v>270</v>
      </c>
      <c r="M71" s="99"/>
      <c r="N71" s="99"/>
      <c r="O71" s="98">
        <v>700000</v>
      </c>
      <c r="P71" s="98">
        <f>F71-O71</f>
        <v>2000000</v>
      </c>
      <c r="Q71" s="97" t="s">
        <v>64</v>
      </c>
      <c r="R71" s="100">
        <v>44166</v>
      </c>
      <c r="S71" s="100">
        <v>44228</v>
      </c>
      <c r="T71" s="100">
        <v>44348</v>
      </c>
      <c r="U71" s="126" t="s">
        <v>293</v>
      </c>
      <c r="V71" s="126" t="s">
        <v>288</v>
      </c>
      <c r="W71" s="97" t="s">
        <v>64</v>
      </c>
      <c r="X71" s="97" t="s">
        <v>64</v>
      </c>
      <c r="Y71" s="97" t="s">
        <v>64</v>
      </c>
      <c r="Z71" s="97" t="s">
        <v>64</v>
      </c>
      <c r="AA71" s="93" t="s">
        <v>289</v>
      </c>
      <c r="AB71" s="96"/>
      <c r="AC71" s="96"/>
      <c r="AD71" s="96" t="s">
        <v>53</v>
      </c>
      <c r="AE71" s="96"/>
      <c r="AF71" s="96"/>
      <c r="AG71" s="96"/>
      <c r="AH71" s="96"/>
      <c r="AI71" s="96"/>
      <c r="AJ71" s="93" t="s">
        <v>289</v>
      </c>
      <c r="AK71" s="97"/>
      <c r="AL71" s="96">
        <f t="shared" si="6"/>
        <v>29.347826086956523</v>
      </c>
      <c r="AM71" s="93" t="s">
        <v>290</v>
      </c>
    </row>
    <row r="72" spans="1:39" ht="76.5" x14ac:dyDescent="0.25">
      <c r="A72" s="97">
        <v>2</v>
      </c>
      <c r="B72" s="93" t="s">
        <v>283</v>
      </c>
      <c r="C72" s="93" t="s">
        <v>311</v>
      </c>
      <c r="D72" s="265" t="s">
        <v>687</v>
      </c>
      <c r="E72" s="127" t="s">
        <v>668</v>
      </c>
      <c r="F72" s="132">
        <v>3100000</v>
      </c>
      <c r="G72" s="167">
        <f>0.5*F72</f>
        <v>1550000</v>
      </c>
      <c r="H72" s="167">
        <f t="shared" si="9"/>
        <v>1550000</v>
      </c>
      <c r="I72" s="97" t="s">
        <v>299</v>
      </c>
      <c r="J72" s="97"/>
      <c r="K72" s="97"/>
      <c r="L72" s="97">
        <v>180</v>
      </c>
      <c r="M72" s="98">
        <v>100000</v>
      </c>
      <c r="N72" s="98">
        <v>200000</v>
      </c>
      <c r="O72" s="99">
        <v>1400000</v>
      </c>
      <c r="P72" s="99">
        <f>F72-M72-N72-O72</f>
        <v>1400000</v>
      </c>
      <c r="Q72" s="97" t="s">
        <v>64</v>
      </c>
      <c r="R72" s="100">
        <v>44075</v>
      </c>
      <c r="S72" s="100">
        <v>44105</v>
      </c>
      <c r="T72" s="100">
        <v>44287</v>
      </c>
      <c r="U72" s="126" t="s">
        <v>293</v>
      </c>
      <c r="V72" s="126" t="s">
        <v>288</v>
      </c>
      <c r="W72" s="97" t="s">
        <v>64</v>
      </c>
      <c r="X72" s="97" t="s">
        <v>64</v>
      </c>
      <c r="Y72" s="97" t="s">
        <v>64</v>
      </c>
      <c r="Z72" s="97" t="s">
        <v>64</v>
      </c>
      <c r="AA72" s="93" t="s">
        <v>289</v>
      </c>
      <c r="AB72" s="96"/>
      <c r="AC72" s="96"/>
      <c r="AD72" s="96" t="s">
        <v>53</v>
      </c>
      <c r="AE72" s="96"/>
      <c r="AF72" s="96"/>
      <c r="AG72" s="96"/>
      <c r="AH72" s="96"/>
      <c r="AI72" s="96"/>
      <c r="AJ72" s="93" t="s">
        <v>289</v>
      </c>
      <c r="AK72" s="97"/>
      <c r="AL72" s="96">
        <f t="shared" si="6"/>
        <v>33.695652173913047</v>
      </c>
      <c r="AM72" s="93" t="s">
        <v>290</v>
      </c>
    </row>
    <row r="73" spans="1:39" ht="72.75" customHeight="1" x14ac:dyDescent="0.25">
      <c r="A73" s="97">
        <v>1</v>
      </c>
      <c r="B73" s="93" t="s">
        <v>283</v>
      </c>
      <c r="C73" s="93" t="s">
        <v>312</v>
      </c>
      <c r="D73" s="265" t="s">
        <v>688</v>
      </c>
      <c r="E73" s="93" t="s">
        <v>313</v>
      </c>
      <c r="F73" s="132">
        <v>1400000</v>
      </c>
      <c r="G73" s="167">
        <f>0.5*F73</f>
        <v>700000</v>
      </c>
      <c r="H73" s="167">
        <f t="shared" si="9"/>
        <v>700000</v>
      </c>
      <c r="I73" s="97" t="s">
        <v>299</v>
      </c>
      <c r="J73" s="97"/>
      <c r="K73" s="97"/>
      <c r="L73" s="97">
        <v>180</v>
      </c>
      <c r="M73" s="98">
        <v>75000</v>
      </c>
      <c r="N73" s="98">
        <v>125000</v>
      </c>
      <c r="O73" s="99">
        <v>1200000</v>
      </c>
      <c r="P73" s="98"/>
      <c r="Q73" s="97" t="s">
        <v>64</v>
      </c>
      <c r="R73" s="100">
        <v>44075</v>
      </c>
      <c r="S73" s="100">
        <v>44105</v>
      </c>
      <c r="T73" s="100">
        <v>44287</v>
      </c>
      <c r="U73" s="126" t="s">
        <v>296</v>
      </c>
      <c r="V73" s="126" t="s">
        <v>288</v>
      </c>
      <c r="W73" s="97" t="s">
        <v>64</v>
      </c>
      <c r="X73" s="97" t="s">
        <v>64</v>
      </c>
      <c r="Y73" s="97" t="s">
        <v>64</v>
      </c>
      <c r="Z73" s="97" t="s">
        <v>64</v>
      </c>
      <c r="AA73" s="93" t="s">
        <v>289</v>
      </c>
      <c r="AB73" s="96"/>
      <c r="AC73" s="96"/>
      <c r="AD73" s="96" t="s">
        <v>53</v>
      </c>
      <c r="AE73" s="96"/>
      <c r="AF73" s="96"/>
      <c r="AG73" s="96"/>
      <c r="AH73" s="96"/>
      <c r="AI73" s="96"/>
      <c r="AJ73" s="93" t="s">
        <v>289</v>
      </c>
      <c r="AK73" s="97"/>
      <c r="AL73" s="96">
        <f t="shared" si="6"/>
        <v>15.217391304347826</v>
      </c>
      <c r="AM73" s="93" t="s">
        <v>290</v>
      </c>
    </row>
    <row r="74" spans="1:39" ht="75" customHeight="1" thickBot="1" x14ac:dyDescent="0.3">
      <c r="A74" s="133">
        <v>1</v>
      </c>
      <c r="B74" s="134" t="s">
        <v>283</v>
      </c>
      <c r="C74" s="134" t="s">
        <v>314</v>
      </c>
      <c r="D74" s="266" t="s">
        <v>689</v>
      </c>
      <c r="E74" s="134" t="s">
        <v>641</v>
      </c>
      <c r="F74" s="135">
        <v>5700000</v>
      </c>
      <c r="G74" s="168">
        <f>0.5*F74</f>
        <v>2850000</v>
      </c>
      <c r="H74" s="168">
        <f t="shared" si="9"/>
        <v>2850000</v>
      </c>
      <c r="I74" s="133" t="s">
        <v>286</v>
      </c>
      <c r="J74" s="133"/>
      <c r="K74" s="133"/>
      <c r="L74" s="133">
        <v>365</v>
      </c>
      <c r="M74" s="136"/>
      <c r="N74" s="137">
        <v>200000</v>
      </c>
      <c r="O74" s="137">
        <v>250000</v>
      </c>
      <c r="P74" s="136">
        <f>F74-M74-N74-O74</f>
        <v>5250000</v>
      </c>
      <c r="Q74" s="133" t="s">
        <v>64</v>
      </c>
      <c r="R74" s="138">
        <v>44197</v>
      </c>
      <c r="S74" s="138">
        <v>44317</v>
      </c>
      <c r="T74" s="138">
        <v>44593</v>
      </c>
      <c r="U74" s="139" t="s">
        <v>300</v>
      </c>
      <c r="V74" s="139" t="s">
        <v>288</v>
      </c>
      <c r="W74" s="133" t="s">
        <v>64</v>
      </c>
      <c r="X74" s="133" t="s">
        <v>64</v>
      </c>
      <c r="Y74" s="133" t="s">
        <v>64</v>
      </c>
      <c r="Z74" s="133" t="s">
        <v>64</v>
      </c>
      <c r="AA74" s="134" t="s">
        <v>289</v>
      </c>
      <c r="AB74" s="140"/>
      <c r="AC74" s="140"/>
      <c r="AD74" s="140" t="s">
        <v>53</v>
      </c>
      <c r="AE74" s="140"/>
      <c r="AF74" s="140"/>
      <c r="AG74" s="140"/>
      <c r="AH74" s="140"/>
      <c r="AI74" s="140"/>
      <c r="AJ74" s="134" t="s">
        <v>289</v>
      </c>
      <c r="AK74" s="133"/>
      <c r="AL74" s="140">
        <f t="shared" si="6"/>
        <v>61.956521739130437</v>
      </c>
      <c r="AM74" s="134" t="s">
        <v>290</v>
      </c>
    </row>
    <row r="75" spans="1:39" ht="152.25" customHeight="1" x14ac:dyDescent="0.25">
      <c r="A75" s="141">
        <v>1</v>
      </c>
      <c r="B75" s="142" t="s">
        <v>315</v>
      </c>
      <c r="C75" s="142" t="s">
        <v>316</v>
      </c>
      <c r="D75" s="142" t="s">
        <v>671</v>
      </c>
      <c r="E75" s="142" t="s">
        <v>642</v>
      </c>
      <c r="F75" s="143">
        <v>3735000</v>
      </c>
      <c r="G75" s="143">
        <f>F75*1</f>
        <v>3735000</v>
      </c>
      <c r="H75" s="143">
        <f t="shared" si="9"/>
        <v>0</v>
      </c>
      <c r="I75" s="142"/>
      <c r="J75" s="142"/>
      <c r="K75" s="142"/>
      <c r="L75" s="142">
        <v>365</v>
      </c>
      <c r="M75" s="169">
        <v>2650000</v>
      </c>
      <c r="N75" s="169">
        <f>F75-M75</f>
        <v>1085000</v>
      </c>
      <c r="O75" s="144"/>
      <c r="P75" s="144"/>
      <c r="Q75" s="142" t="s">
        <v>64</v>
      </c>
      <c r="R75" s="142" t="s">
        <v>317</v>
      </c>
      <c r="S75" s="145">
        <v>44044</v>
      </c>
      <c r="T75" s="145">
        <v>44105</v>
      </c>
      <c r="U75" s="146" t="s">
        <v>318</v>
      </c>
      <c r="V75" s="146" t="s">
        <v>319</v>
      </c>
      <c r="W75" s="142" t="s">
        <v>64</v>
      </c>
      <c r="X75" s="142" t="s">
        <v>131</v>
      </c>
      <c r="Y75" s="142" t="s">
        <v>131</v>
      </c>
      <c r="Z75" s="142" t="s">
        <v>64</v>
      </c>
      <c r="AA75" s="142" t="s">
        <v>643</v>
      </c>
      <c r="AB75" s="147" t="s">
        <v>53</v>
      </c>
      <c r="AC75" s="147"/>
      <c r="AD75" s="147"/>
      <c r="AE75" s="147"/>
      <c r="AF75" s="147"/>
      <c r="AG75" s="147"/>
      <c r="AH75" s="147"/>
      <c r="AI75" s="147"/>
      <c r="AJ75" s="142" t="s">
        <v>52</v>
      </c>
      <c r="AK75" s="142" t="s">
        <v>320</v>
      </c>
      <c r="AL75" s="147">
        <f>F75/92000</f>
        <v>40.597826086956523</v>
      </c>
      <c r="AM75" s="142" t="s">
        <v>321</v>
      </c>
    </row>
    <row r="76" spans="1:39" ht="152.25" customHeight="1" x14ac:dyDescent="0.25">
      <c r="A76" s="105">
        <v>1</v>
      </c>
      <c r="B76" s="88" t="s">
        <v>315</v>
      </c>
      <c r="C76" s="88" t="s">
        <v>316</v>
      </c>
      <c r="D76" s="142" t="s">
        <v>671</v>
      </c>
      <c r="E76" s="88" t="s">
        <v>642</v>
      </c>
      <c r="F76" s="158">
        <v>3735000</v>
      </c>
      <c r="G76" s="158">
        <f>F76*0.75</f>
        <v>2801250</v>
      </c>
      <c r="H76" s="158">
        <f t="shared" si="9"/>
        <v>933750</v>
      </c>
      <c r="I76" s="88" t="s">
        <v>67</v>
      </c>
      <c r="J76" s="88"/>
      <c r="K76" s="88"/>
      <c r="L76" s="88">
        <v>365</v>
      </c>
      <c r="M76" s="102">
        <v>2650000</v>
      </c>
      <c r="N76" s="102">
        <f t="shared" ref="N76:N77" si="10">F76-M76</f>
        <v>1085000</v>
      </c>
      <c r="O76" s="104"/>
      <c r="P76" s="104"/>
      <c r="Q76" s="88" t="s">
        <v>64</v>
      </c>
      <c r="R76" s="88" t="s">
        <v>317</v>
      </c>
      <c r="S76" s="89">
        <v>44044</v>
      </c>
      <c r="T76" s="89">
        <v>44105</v>
      </c>
      <c r="U76" s="159" t="s">
        <v>318</v>
      </c>
      <c r="V76" s="159" t="s">
        <v>319</v>
      </c>
      <c r="W76" s="88" t="s">
        <v>64</v>
      </c>
      <c r="X76" s="88" t="s">
        <v>131</v>
      </c>
      <c r="Y76" s="88" t="s">
        <v>131</v>
      </c>
      <c r="Z76" s="88" t="s">
        <v>64</v>
      </c>
      <c r="AA76" s="88" t="s">
        <v>643</v>
      </c>
      <c r="AB76" s="90" t="s">
        <v>53</v>
      </c>
      <c r="AC76" s="90"/>
      <c r="AD76" s="90"/>
      <c r="AE76" s="90"/>
      <c r="AF76" s="90"/>
      <c r="AG76" s="90"/>
      <c r="AH76" s="90"/>
      <c r="AI76" s="90"/>
      <c r="AJ76" s="88" t="s">
        <v>52</v>
      </c>
      <c r="AK76" s="88" t="s">
        <v>320</v>
      </c>
      <c r="AL76" s="90">
        <f t="shared" ref="AL76:AL92" si="11">F76/92000</f>
        <v>40.597826086956523</v>
      </c>
      <c r="AM76" s="88" t="s">
        <v>321</v>
      </c>
    </row>
    <row r="77" spans="1:39" ht="150" customHeight="1" thickBot="1" x14ac:dyDescent="0.3">
      <c r="A77" s="149">
        <v>1</v>
      </c>
      <c r="B77" s="150" t="s">
        <v>315</v>
      </c>
      <c r="C77" s="150" t="s">
        <v>316</v>
      </c>
      <c r="D77" s="142" t="s">
        <v>671</v>
      </c>
      <c r="E77" s="150" t="s">
        <v>642</v>
      </c>
      <c r="F77" s="151">
        <v>3735000</v>
      </c>
      <c r="G77" s="151">
        <f>F77*0.5</f>
        <v>1867500</v>
      </c>
      <c r="H77" s="151">
        <f t="shared" si="9"/>
        <v>1867500</v>
      </c>
      <c r="I77" s="150" t="s">
        <v>67</v>
      </c>
      <c r="J77" s="150"/>
      <c r="K77" s="150"/>
      <c r="L77" s="150">
        <v>365</v>
      </c>
      <c r="M77" s="170">
        <v>2650000</v>
      </c>
      <c r="N77" s="170">
        <f t="shared" si="10"/>
        <v>1085000</v>
      </c>
      <c r="O77" s="171"/>
      <c r="P77" s="171"/>
      <c r="Q77" s="150" t="s">
        <v>64</v>
      </c>
      <c r="R77" s="150" t="s">
        <v>317</v>
      </c>
      <c r="S77" s="163">
        <v>44044</v>
      </c>
      <c r="T77" s="163">
        <v>44105</v>
      </c>
      <c r="U77" s="164" t="s">
        <v>318</v>
      </c>
      <c r="V77" s="164" t="s">
        <v>319</v>
      </c>
      <c r="W77" s="150" t="s">
        <v>64</v>
      </c>
      <c r="X77" s="150" t="s">
        <v>131</v>
      </c>
      <c r="Y77" s="150" t="s">
        <v>131</v>
      </c>
      <c r="Z77" s="150" t="s">
        <v>64</v>
      </c>
      <c r="AA77" s="150" t="s">
        <v>643</v>
      </c>
      <c r="AB77" s="154" t="s">
        <v>53</v>
      </c>
      <c r="AC77" s="154"/>
      <c r="AD77" s="154"/>
      <c r="AE77" s="154"/>
      <c r="AF77" s="154"/>
      <c r="AG77" s="154"/>
      <c r="AH77" s="154"/>
      <c r="AI77" s="154"/>
      <c r="AJ77" s="150" t="s">
        <v>52</v>
      </c>
      <c r="AK77" s="150" t="s">
        <v>320</v>
      </c>
      <c r="AL77" s="154">
        <f t="shared" si="11"/>
        <v>40.597826086956523</v>
      </c>
      <c r="AM77" s="150" t="s">
        <v>321</v>
      </c>
    </row>
    <row r="78" spans="1:39" ht="76.5" x14ac:dyDescent="0.25">
      <c r="A78" s="6"/>
      <c r="B78" s="6" t="s">
        <v>322</v>
      </c>
      <c r="C78" s="6" t="s">
        <v>323</v>
      </c>
      <c r="D78" s="6"/>
      <c r="E78" s="6" t="s">
        <v>324</v>
      </c>
      <c r="F78" s="39">
        <v>1000000</v>
      </c>
      <c r="G78" s="39">
        <v>500000</v>
      </c>
      <c r="H78" s="39">
        <v>500000</v>
      </c>
      <c r="I78" s="6" t="s">
        <v>325</v>
      </c>
      <c r="J78" s="6"/>
      <c r="K78" s="6"/>
      <c r="L78" s="6">
        <v>180</v>
      </c>
      <c r="M78" s="45"/>
      <c r="N78" s="45"/>
      <c r="O78" s="45"/>
      <c r="P78" s="45">
        <f t="shared" ref="P78" si="12">0.1*F78</f>
        <v>100000</v>
      </c>
      <c r="Q78" s="6" t="s">
        <v>64</v>
      </c>
      <c r="R78" s="10">
        <v>44136</v>
      </c>
      <c r="S78" s="11">
        <v>44197</v>
      </c>
      <c r="T78" s="11">
        <v>44348</v>
      </c>
      <c r="U78" s="2" t="s">
        <v>326</v>
      </c>
      <c r="V78" s="2" t="s">
        <v>49</v>
      </c>
      <c r="W78" s="6" t="s">
        <v>131</v>
      </c>
      <c r="X78" s="6" t="s">
        <v>131</v>
      </c>
      <c r="Y78" s="6" t="s">
        <v>64</v>
      </c>
      <c r="Z78" s="6" t="s">
        <v>64</v>
      </c>
      <c r="AA78" s="6" t="s">
        <v>644</v>
      </c>
      <c r="AB78" s="3" t="s">
        <v>53</v>
      </c>
      <c r="AC78" s="3" t="s">
        <v>53</v>
      </c>
      <c r="AD78" s="3"/>
      <c r="AE78" s="3"/>
      <c r="AF78" s="3"/>
      <c r="AG78" s="3"/>
      <c r="AH78" s="3"/>
      <c r="AI78" s="3"/>
      <c r="AJ78" s="6"/>
      <c r="AK78" s="6"/>
      <c r="AL78" s="3">
        <f t="shared" si="11"/>
        <v>10.869565217391305</v>
      </c>
      <c r="AM78" s="6" t="s">
        <v>327</v>
      </c>
    </row>
    <row r="79" spans="1:39" ht="76.5" x14ac:dyDescent="0.25">
      <c r="A79" s="12"/>
      <c r="B79" s="12" t="s">
        <v>322</v>
      </c>
      <c r="C79" s="12" t="s">
        <v>328</v>
      </c>
      <c r="D79" s="12"/>
      <c r="E79" s="12" t="s">
        <v>329</v>
      </c>
      <c r="F79" s="40">
        <v>7500000</v>
      </c>
      <c r="G79" s="40">
        <v>3750000</v>
      </c>
      <c r="H79" s="40">
        <v>3750000</v>
      </c>
      <c r="I79" s="12" t="s">
        <v>325</v>
      </c>
      <c r="J79" s="12"/>
      <c r="K79" s="12"/>
      <c r="L79" s="12">
        <v>180</v>
      </c>
      <c r="M79" s="46">
        <f>0.03*F79</f>
        <v>225000</v>
      </c>
      <c r="N79" s="46">
        <f>0.05*F79</f>
        <v>375000</v>
      </c>
      <c r="O79" s="46">
        <f>0.1*F79</f>
        <v>750000</v>
      </c>
      <c r="P79" s="46">
        <f>0.2*F79</f>
        <v>1500000</v>
      </c>
      <c r="Q79" s="12" t="s">
        <v>64</v>
      </c>
      <c r="R79" s="14">
        <v>44075</v>
      </c>
      <c r="S79" s="15">
        <v>44197</v>
      </c>
      <c r="T79" s="15">
        <v>44470</v>
      </c>
      <c r="U79" s="13" t="s">
        <v>326</v>
      </c>
      <c r="V79" s="13" t="s">
        <v>330</v>
      </c>
      <c r="W79" s="12" t="s">
        <v>131</v>
      </c>
      <c r="X79" s="12" t="s">
        <v>131</v>
      </c>
      <c r="Y79" s="12" t="s">
        <v>64</v>
      </c>
      <c r="Z79" s="12" t="s">
        <v>64</v>
      </c>
      <c r="AA79" s="12" t="s">
        <v>331</v>
      </c>
      <c r="AB79" s="16" t="s">
        <v>53</v>
      </c>
      <c r="AC79" s="16" t="s">
        <v>53</v>
      </c>
      <c r="AD79" s="16"/>
      <c r="AE79" s="16"/>
      <c r="AF79" s="16"/>
      <c r="AG79" s="16"/>
      <c r="AH79" s="16"/>
      <c r="AI79" s="16"/>
      <c r="AJ79" s="12"/>
      <c r="AK79" s="12"/>
      <c r="AL79" s="16">
        <f t="shared" si="11"/>
        <v>81.521739130434781</v>
      </c>
      <c r="AM79" s="12" t="s">
        <v>327</v>
      </c>
    </row>
    <row r="80" spans="1:39" ht="76.5" x14ac:dyDescent="0.25">
      <c r="A80" s="12"/>
      <c r="B80" s="12" t="s">
        <v>322</v>
      </c>
      <c r="C80" s="12" t="s">
        <v>332</v>
      </c>
      <c r="D80" s="12"/>
      <c r="E80" s="12" t="s">
        <v>333</v>
      </c>
      <c r="F80" s="40">
        <v>6000000</v>
      </c>
      <c r="G80" s="40">
        <v>3000000</v>
      </c>
      <c r="H80" s="40">
        <v>3000000</v>
      </c>
      <c r="I80" s="12" t="s">
        <v>325</v>
      </c>
      <c r="J80" s="12"/>
      <c r="K80" s="12"/>
      <c r="L80" s="12">
        <v>180</v>
      </c>
      <c r="M80" s="46">
        <f>0.03*F80</f>
        <v>180000</v>
      </c>
      <c r="N80" s="46">
        <f>0.05*F80</f>
        <v>300000</v>
      </c>
      <c r="O80" s="46">
        <f>0.1*F80</f>
        <v>600000</v>
      </c>
      <c r="P80" s="46">
        <f>0.2*F80</f>
        <v>1200000</v>
      </c>
      <c r="Q80" s="12" t="s">
        <v>64</v>
      </c>
      <c r="R80" s="14">
        <v>44075</v>
      </c>
      <c r="S80" s="15">
        <v>44197</v>
      </c>
      <c r="T80" s="15">
        <v>44470</v>
      </c>
      <c r="U80" s="13" t="s">
        <v>326</v>
      </c>
      <c r="V80" s="13" t="s">
        <v>330</v>
      </c>
      <c r="W80" s="12" t="s">
        <v>131</v>
      </c>
      <c r="X80" s="12" t="s">
        <v>131</v>
      </c>
      <c r="Y80" s="12" t="s">
        <v>64</v>
      </c>
      <c r="Z80" s="12" t="s">
        <v>64</v>
      </c>
      <c r="AA80" s="12" t="s">
        <v>331</v>
      </c>
      <c r="AB80" s="16" t="s">
        <v>53</v>
      </c>
      <c r="AC80" s="16" t="s">
        <v>53</v>
      </c>
      <c r="AD80" s="16"/>
      <c r="AE80" s="16"/>
      <c r="AF80" s="16"/>
      <c r="AG80" s="16"/>
      <c r="AH80" s="16"/>
      <c r="AI80" s="16"/>
      <c r="AJ80" s="12"/>
      <c r="AK80" s="12"/>
      <c r="AL80" s="16">
        <f t="shared" si="11"/>
        <v>65.217391304347828</v>
      </c>
      <c r="AM80" s="12" t="s">
        <v>327</v>
      </c>
    </row>
    <row r="81" spans="1:39" ht="63.75" x14ac:dyDescent="0.25">
      <c r="A81" s="12"/>
      <c r="B81" s="12" t="s">
        <v>322</v>
      </c>
      <c r="C81" s="12" t="s">
        <v>334</v>
      </c>
      <c r="D81" s="12"/>
      <c r="E81" s="12" t="s">
        <v>335</v>
      </c>
      <c r="F81" s="40">
        <v>3400000</v>
      </c>
      <c r="G81" s="40">
        <f>0.75*F81</f>
        <v>2550000</v>
      </c>
      <c r="H81" s="40">
        <f>0.25*F81</f>
        <v>850000</v>
      </c>
      <c r="I81" s="12" t="s">
        <v>336</v>
      </c>
      <c r="J81" s="12"/>
      <c r="K81" s="12"/>
      <c r="L81" s="12">
        <v>365</v>
      </c>
      <c r="M81" s="46">
        <f>0.02*F81</f>
        <v>68000</v>
      </c>
      <c r="N81" s="46">
        <f>0.04*F81</f>
        <v>136000</v>
      </c>
      <c r="O81" s="46">
        <f>0.05*F81</f>
        <v>170000</v>
      </c>
      <c r="P81" s="46">
        <f>0.09*F81</f>
        <v>306000</v>
      </c>
      <c r="Q81" s="12" t="s">
        <v>64</v>
      </c>
      <c r="R81" s="14">
        <v>44287</v>
      </c>
      <c r="S81" s="15">
        <v>44317</v>
      </c>
      <c r="T81" s="15">
        <v>44896</v>
      </c>
      <c r="U81" s="13" t="s">
        <v>337</v>
      </c>
      <c r="V81" s="13" t="s">
        <v>338</v>
      </c>
      <c r="W81" s="12" t="s">
        <v>131</v>
      </c>
      <c r="X81" s="12" t="s">
        <v>131</v>
      </c>
      <c r="Y81" s="12" t="s">
        <v>131</v>
      </c>
      <c r="Z81" s="12" t="s">
        <v>64</v>
      </c>
      <c r="AA81" s="12" t="s">
        <v>339</v>
      </c>
      <c r="AB81" s="16"/>
      <c r="AC81" s="16"/>
      <c r="AD81" s="16"/>
      <c r="AE81" s="16"/>
      <c r="AF81" s="16"/>
      <c r="AG81" s="16"/>
      <c r="AH81" s="16"/>
      <c r="AI81" s="16"/>
      <c r="AJ81" s="12"/>
      <c r="AK81" s="12"/>
      <c r="AL81" s="16">
        <f t="shared" si="11"/>
        <v>36.956521739130437</v>
      </c>
      <c r="AM81" s="12" t="s">
        <v>327</v>
      </c>
    </row>
    <row r="82" spans="1:39" ht="140.25" x14ac:dyDescent="0.25">
      <c r="A82" s="17"/>
      <c r="B82" s="12" t="s">
        <v>322</v>
      </c>
      <c r="C82" s="12" t="s">
        <v>340</v>
      </c>
      <c r="D82" s="12"/>
      <c r="E82" s="12" t="s">
        <v>341</v>
      </c>
      <c r="F82" s="41">
        <v>28804050</v>
      </c>
      <c r="G82" s="41">
        <f t="shared" ref="G82:G90" si="13">0.5*F82</f>
        <v>14402025</v>
      </c>
      <c r="H82" s="41">
        <f t="shared" ref="H82:H90" si="14">0.5*F82</f>
        <v>14402025</v>
      </c>
      <c r="I82" s="12" t="s">
        <v>342</v>
      </c>
      <c r="J82" s="17"/>
      <c r="K82" s="17"/>
      <c r="L82" s="17" t="s">
        <v>117</v>
      </c>
      <c r="M82" s="47">
        <f>0.05*F82</f>
        <v>1440202.5</v>
      </c>
      <c r="N82" s="47">
        <f>0.2*F82</f>
        <v>5760810</v>
      </c>
      <c r="O82" s="47">
        <f>0.25*F82</f>
        <v>7201012.5</v>
      </c>
      <c r="P82" s="46">
        <f>0.5*F82</f>
        <v>14402025</v>
      </c>
      <c r="Q82" s="17" t="s">
        <v>131</v>
      </c>
      <c r="R82" s="18"/>
      <c r="S82" s="19">
        <v>43983</v>
      </c>
      <c r="T82" s="19">
        <v>44896</v>
      </c>
      <c r="U82" s="13" t="s">
        <v>632</v>
      </c>
      <c r="V82" s="13" t="s">
        <v>49</v>
      </c>
      <c r="W82" s="12" t="s">
        <v>131</v>
      </c>
      <c r="X82" s="12" t="s">
        <v>131</v>
      </c>
      <c r="Y82" s="17" t="s">
        <v>64</v>
      </c>
      <c r="Z82" s="12" t="s">
        <v>64</v>
      </c>
      <c r="AA82" s="12" t="s">
        <v>343</v>
      </c>
      <c r="AB82" s="16"/>
      <c r="AC82" s="16"/>
      <c r="AD82" s="16" t="s">
        <v>53</v>
      </c>
      <c r="AE82" s="16"/>
      <c r="AF82" s="16"/>
      <c r="AG82" s="16"/>
      <c r="AH82" s="16"/>
      <c r="AI82" s="16"/>
      <c r="AJ82" s="17"/>
      <c r="AK82" s="17"/>
      <c r="AL82" s="16">
        <f t="shared" si="11"/>
        <v>313.08749999999998</v>
      </c>
      <c r="AM82" s="12" t="s">
        <v>327</v>
      </c>
    </row>
    <row r="83" spans="1:39" ht="204" x14ac:dyDescent="0.25">
      <c r="A83" s="17"/>
      <c r="B83" s="12" t="s">
        <v>322</v>
      </c>
      <c r="C83" s="12" t="s">
        <v>344</v>
      </c>
      <c r="D83" s="12"/>
      <c r="E83" s="12" t="s">
        <v>345</v>
      </c>
      <c r="F83" s="41">
        <v>3550000</v>
      </c>
      <c r="G83" s="41">
        <f t="shared" si="13"/>
        <v>1775000</v>
      </c>
      <c r="H83" s="41">
        <f t="shared" si="14"/>
        <v>1775000</v>
      </c>
      <c r="I83" s="17" t="s">
        <v>346</v>
      </c>
      <c r="J83" s="17"/>
      <c r="K83" s="17"/>
      <c r="L83" s="17">
        <v>180</v>
      </c>
      <c r="M83" s="47">
        <f>0.05*F83</f>
        <v>177500</v>
      </c>
      <c r="N83" s="47">
        <f>0.1*F83</f>
        <v>355000</v>
      </c>
      <c r="O83" s="47">
        <f>0.4*F83</f>
        <v>1420000</v>
      </c>
      <c r="P83" s="46">
        <f>0.6*F83</f>
        <v>2130000</v>
      </c>
      <c r="Q83" s="17" t="s">
        <v>64</v>
      </c>
      <c r="R83" s="18">
        <v>44013</v>
      </c>
      <c r="S83" s="19">
        <v>44075</v>
      </c>
      <c r="T83" s="19">
        <v>44287</v>
      </c>
      <c r="U83" s="13" t="s">
        <v>326</v>
      </c>
      <c r="V83" s="13" t="s">
        <v>49</v>
      </c>
      <c r="W83" s="12" t="s">
        <v>131</v>
      </c>
      <c r="X83" s="12" t="s">
        <v>131</v>
      </c>
      <c r="Y83" s="17" t="s">
        <v>64</v>
      </c>
      <c r="Z83" s="12" t="s">
        <v>64</v>
      </c>
      <c r="AA83" s="12" t="s">
        <v>347</v>
      </c>
      <c r="AB83" s="16"/>
      <c r="AC83" s="16"/>
      <c r="AD83" s="16" t="s">
        <v>53</v>
      </c>
      <c r="AE83" s="16"/>
      <c r="AF83" s="16"/>
      <c r="AG83" s="16"/>
      <c r="AH83" s="16"/>
      <c r="AI83" s="16"/>
      <c r="AJ83" s="17"/>
      <c r="AK83" s="17"/>
      <c r="AL83" s="16">
        <f t="shared" si="11"/>
        <v>38.586956521739133</v>
      </c>
      <c r="AM83" s="12" t="s">
        <v>327</v>
      </c>
    </row>
    <row r="84" spans="1:39" ht="153" x14ac:dyDescent="0.25">
      <c r="A84" s="17"/>
      <c r="B84" s="12" t="s">
        <v>322</v>
      </c>
      <c r="C84" s="12" t="s">
        <v>348</v>
      </c>
      <c r="D84" s="12"/>
      <c r="E84" s="12" t="s">
        <v>349</v>
      </c>
      <c r="F84" s="41">
        <v>1600000</v>
      </c>
      <c r="G84" s="41">
        <f t="shared" si="13"/>
        <v>800000</v>
      </c>
      <c r="H84" s="41">
        <f t="shared" si="14"/>
        <v>800000</v>
      </c>
      <c r="I84" s="17" t="s">
        <v>325</v>
      </c>
      <c r="J84" s="17"/>
      <c r="K84" s="17"/>
      <c r="L84" s="17">
        <v>90</v>
      </c>
      <c r="M84" s="47">
        <f>0.05*F84</f>
        <v>80000</v>
      </c>
      <c r="N84" s="47">
        <f>0.2*F84</f>
        <v>320000</v>
      </c>
      <c r="O84" s="47">
        <f>0.25*F84</f>
        <v>400000</v>
      </c>
      <c r="P84" s="46">
        <f>0.5*F84</f>
        <v>800000</v>
      </c>
      <c r="Q84" s="17" t="s">
        <v>64</v>
      </c>
      <c r="R84" s="18">
        <v>44013</v>
      </c>
      <c r="S84" s="19">
        <v>44105</v>
      </c>
      <c r="T84" s="19">
        <v>44378</v>
      </c>
      <c r="U84" s="13" t="s">
        <v>326</v>
      </c>
      <c r="V84" s="13" t="s">
        <v>350</v>
      </c>
      <c r="W84" s="12" t="s">
        <v>131</v>
      </c>
      <c r="X84" s="12" t="s">
        <v>131</v>
      </c>
      <c r="Y84" s="17" t="s">
        <v>64</v>
      </c>
      <c r="Z84" s="12" t="s">
        <v>64</v>
      </c>
      <c r="AA84" s="12" t="s">
        <v>645</v>
      </c>
      <c r="AB84" s="16"/>
      <c r="AC84" s="16"/>
      <c r="AD84" s="16" t="s">
        <v>53</v>
      </c>
      <c r="AE84" s="16"/>
      <c r="AF84" s="16"/>
      <c r="AG84" s="16"/>
      <c r="AH84" s="16"/>
      <c r="AI84" s="16"/>
      <c r="AJ84" s="17"/>
      <c r="AK84" s="17"/>
      <c r="AL84" s="16">
        <f t="shared" si="11"/>
        <v>17.391304347826086</v>
      </c>
      <c r="AM84" s="12" t="s">
        <v>327</v>
      </c>
    </row>
    <row r="85" spans="1:39" ht="255" x14ac:dyDescent="0.25">
      <c r="A85" s="17"/>
      <c r="B85" s="12" t="s">
        <v>322</v>
      </c>
      <c r="C85" s="12" t="s">
        <v>351</v>
      </c>
      <c r="D85" s="12"/>
      <c r="E85" s="12" t="s">
        <v>646</v>
      </c>
      <c r="F85" s="41">
        <v>1695114</v>
      </c>
      <c r="G85" s="41">
        <f t="shared" si="13"/>
        <v>847557</v>
      </c>
      <c r="H85" s="41">
        <f t="shared" si="14"/>
        <v>847557</v>
      </c>
      <c r="I85" s="17" t="s">
        <v>325</v>
      </c>
      <c r="J85" s="17"/>
      <c r="K85" s="17"/>
      <c r="L85" s="17">
        <v>90</v>
      </c>
      <c r="M85" s="46">
        <f>0.03*F85</f>
        <v>50853.42</v>
      </c>
      <c r="N85" s="46">
        <f>0.05*F85</f>
        <v>84755.700000000012</v>
      </c>
      <c r="O85" s="46">
        <f>0.1*F85</f>
        <v>169511.40000000002</v>
      </c>
      <c r="P85" s="46">
        <f>0.2*F85</f>
        <v>339022.80000000005</v>
      </c>
      <c r="Q85" s="17" t="s">
        <v>64</v>
      </c>
      <c r="R85" s="18">
        <v>44044</v>
      </c>
      <c r="S85" s="19">
        <v>44197</v>
      </c>
      <c r="T85" s="19">
        <v>44531</v>
      </c>
      <c r="U85" s="13" t="s">
        <v>326</v>
      </c>
      <c r="V85" s="13" t="s">
        <v>350</v>
      </c>
      <c r="W85" s="12" t="s">
        <v>131</v>
      </c>
      <c r="X85" s="12" t="s">
        <v>131</v>
      </c>
      <c r="Y85" s="17" t="s">
        <v>64</v>
      </c>
      <c r="Z85" s="12" t="s">
        <v>64</v>
      </c>
      <c r="AA85" s="12" t="s">
        <v>647</v>
      </c>
      <c r="AB85" s="16"/>
      <c r="AC85" s="16"/>
      <c r="AD85" s="16" t="s">
        <v>53</v>
      </c>
      <c r="AE85" s="16"/>
      <c r="AF85" s="16"/>
      <c r="AG85" s="16"/>
      <c r="AH85" s="16"/>
      <c r="AI85" s="16"/>
      <c r="AJ85" s="17"/>
      <c r="AK85" s="17"/>
      <c r="AL85" s="16">
        <f t="shared" si="11"/>
        <v>18.425152173913045</v>
      </c>
      <c r="AM85" s="12" t="s">
        <v>327</v>
      </c>
    </row>
    <row r="86" spans="1:39" ht="127.5" x14ac:dyDescent="0.25">
      <c r="A86" s="17"/>
      <c r="B86" s="12" t="s">
        <v>322</v>
      </c>
      <c r="C86" s="12" t="s">
        <v>352</v>
      </c>
      <c r="D86" s="12"/>
      <c r="E86" s="12" t="s">
        <v>353</v>
      </c>
      <c r="F86" s="41">
        <v>1250000</v>
      </c>
      <c r="G86" s="41">
        <f t="shared" si="13"/>
        <v>625000</v>
      </c>
      <c r="H86" s="41">
        <f t="shared" si="14"/>
        <v>625000</v>
      </c>
      <c r="I86" s="17" t="s">
        <v>325</v>
      </c>
      <c r="J86" s="17"/>
      <c r="K86" s="17"/>
      <c r="L86" s="17" t="s">
        <v>117</v>
      </c>
      <c r="M86" s="47">
        <f>0.1*F86</f>
        <v>125000</v>
      </c>
      <c r="N86" s="47">
        <f>0.4*F86</f>
        <v>500000</v>
      </c>
      <c r="O86" s="47">
        <f>F86</f>
        <v>1250000</v>
      </c>
      <c r="P86" s="46">
        <f>F86</f>
        <v>1250000</v>
      </c>
      <c r="Q86" s="17" t="s">
        <v>354</v>
      </c>
      <c r="R86" s="18"/>
      <c r="S86" s="19">
        <v>44013</v>
      </c>
      <c r="T86" s="19">
        <v>44136</v>
      </c>
      <c r="U86" s="13" t="s">
        <v>648</v>
      </c>
      <c r="V86" s="13" t="s">
        <v>350</v>
      </c>
      <c r="W86" s="12" t="s">
        <v>131</v>
      </c>
      <c r="X86" s="12" t="s">
        <v>131</v>
      </c>
      <c r="Y86" s="17" t="s">
        <v>64</v>
      </c>
      <c r="Z86" s="12" t="s">
        <v>64</v>
      </c>
      <c r="AA86" s="12" t="s">
        <v>355</v>
      </c>
      <c r="AB86" s="16"/>
      <c r="AC86" s="16"/>
      <c r="AD86" s="16" t="s">
        <v>53</v>
      </c>
      <c r="AE86" s="16"/>
      <c r="AF86" s="16"/>
      <c r="AG86" s="16"/>
      <c r="AH86" s="16"/>
      <c r="AI86" s="16"/>
      <c r="AJ86" s="17"/>
      <c r="AK86" s="17"/>
      <c r="AL86" s="16">
        <f t="shared" si="11"/>
        <v>13.586956521739131</v>
      </c>
      <c r="AM86" s="12" t="s">
        <v>327</v>
      </c>
    </row>
    <row r="87" spans="1:39" ht="102" x14ac:dyDescent="0.25">
      <c r="A87" s="17"/>
      <c r="B87" s="12" t="s">
        <v>322</v>
      </c>
      <c r="C87" s="12" t="s">
        <v>356</v>
      </c>
      <c r="D87" s="12"/>
      <c r="E87" s="12" t="s">
        <v>357</v>
      </c>
      <c r="F87" s="41">
        <v>1000000</v>
      </c>
      <c r="G87" s="41">
        <f t="shared" si="13"/>
        <v>500000</v>
      </c>
      <c r="H87" s="41">
        <f t="shared" si="14"/>
        <v>500000</v>
      </c>
      <c r="I87" s="17" t="s">
        <v>325</v>
      </c>
      <c r="J87" s="17"/>
      <c r="K87" s="17"/>
      <c r="L87" s="17">
        <v>180</v>
      </c>
      <c r="M87" s="47">
        <f>0.05*F87</f>
        <v>50000</v>
      </c>
      <c r="N87" s="47">
        <f>0.1*F87</f>
        <v>100000</v>
      </c>
      <c r="O87" s="47">
        <f>0.35*F87</f>
        <v>350000</v>
      </c>
      <c r="P87" s="46">
        <f>0.6*F87</f>
        <v>600000</v>
      </c>
      <c r="Q87" s="17" t="s">
        <v>64</v>
      </c>
      <c r="R87" s="18">
        <v>44063</v>
      </c>
      <c r="S87" s="19">
        <v>44197</v>
      </c>
      <c r="T87" s="19">
        <v>44531</v>
      </c>
      <c r="U87" s="13" t="s">
        <v>326</v>
      </c>
      <c r="V87" s="13" t="s">
        <v>350</v>
      </c>
      <c r="W87" s="12" t="s">
        <v>131</v>
      </c>
      <c r="X87" s="12" t="s">
        <v>131</v>
      </c>
      <c r="Y87" s="17" t="s">
        <v>64</v>
      </c>
      <c r="Z87" s="12" t="s">
        <v>64</v>
      </c>
      <c r="AA87" s="12" t="s">
        <v>649</v>
      </c>
      <c r="AB87" s="16"/>
      <c r="AC87" s="16"/>
      <c r="AD87" s="16" t="s">
        <v>53</v>
      </c>
      <c r="AE87" s="16"/>
      <c r="AF87" s="16"/>
      <c r="AG87" s="16"/>
      <c r="AH87" s="16"/>
      <c r="AI87" s="16"/>
      <c r="AJ87" s="17"/>
      <c r="AK87" s="17"/>
      <c r="AL87" s="16">
        <f t="shared" si="11"/>
        <v>10.869565217391305</v>
      </c>
      <c r="AM87" s="12" t="s">
        <v>327</v>
      </c>
    </row>
    <row r="88" spans="1:39" ht="178.5" x14ac:dyDescent="0.25">
      <c r="A88" s="17"/>
      <c r="B88" s="12" t="s">
        <v>322</v>
      </c>
      <c r="C88" s="12" t="s">
        <v>358</v>
      </c>
      <c r="D88" s="12"/>
      <c r="E88" s="12" t="s">
        <v>359</v>
      </c>
      <c r="F88" s="41">
        <v>1265000</v>
      </c>
      <c r="G88" s="41">
        <f t="shared" si="13"/>
        <v>632500</v>
      </c>
      <c r="H88" s="41">
        <f t="shared" si="14"/>
        <v>632500</v>
      </c>
      <c r="I88" s="17" t="s">
        <v>336</v>
      </c>
      <c r="J88" s="17"/>
      <c r="K88" s="17"/>
      <c r="L88" s="17">
        <v>90</v>
      </c>
      <c r="M88" s="47">
        <f>0.15*F88</f>
        <v>189750</v>
      </c>
      <c r="N88" s="47">
        <f>0.35*F88</f>
        <v>442750</v>
      </c>
      <c r="O88" s="47">
        <f>0.8*F88</f>
        <v>1012000</v>
      </c>
      <c r="P88" s="46">
        <f>F88</f>
        <v>1265000</v>
      </c>
      <c r="Q88" s="17" t="s">
        <v>131</v>
      </c>
      <c r="R88" s="18"/>
      <c r="S88" s="19">
        <v>44075</v>
      </c>
      <c r="T88" s="19">
        <v>44287</v>
      </c>
      <c r="U88" s="13" t="s">
        <v>360</v>
      </c>
      <c r="V88" s="13" t="s">
        <v>350</v>
      </c>
      <c r="W88" s="12" t="s">
        <v>131</v>
      </c>
      <c r="X88" s="12" t="s">
        <v>131</v>
      </c>
      <c r="Y88" s="17" t="s">
        <v>131</v>
      </c>
      <c r="Z88" s="12" t="s">
        <v>64</v>
      </c>
      <c r="AA88" s="12" t="s">
        <v>650</v>
      </c>
      <c r="AB88" s="16"/>
      <c r="AC88" s="16"/>
      <c r="AD88" s="16"/>
      <c r="AE88" s="16" t="s">
        <v>53</v>
      </c>
      <c r="AF88" s="16"/>
      <c r="AG88" s="16"/>
      <c r="AH88" s="16"/>
      <c r="AI88" s="16"/>
      <c r="AJ88" s="17"/>
      <c r="AK88" s="17"/>
      <c r="AL88" s="16">
        <f t="shared" si="11"/>
        <v>13.75</v>
      </c>
      <c r="AM88" s="12" t="s">
        <v>327</v>
      </c>
    </row>
    <row r="89" spans="1:39" ht="83.25" customHeight="1" x14ac:dyDescent="0.25">
      <c r="A89" s="17"/>
      <c r="B89" s="12" t="s">
        <v>322</v>
      </c>
      <c r="C89" s="12" t="s">
        <v>361</v>
      </c>
      <c r="D89" s="12"/>
      <c r="E89" s="12" t="s">
        <v>651</v>
      </c>
      <c r="F89" s="41">
        <v>1000000</v>
      </c>
      <c r="G89" s="41">
        <f t="shared" si="13"/>
        <v>500000</v>
      </c>
      <c r="H89" s="41">
        <f t="shared" si="14"/>
        <v>500000</v>
      </c>
      <c r="I89" s="17" t="s">
        <v>325</v>
      </c>
      <c r="J89" s="17"/>
      <c r="K89" s="17"/>
      <c r="L89" s="17">
        <v>365</v>
      </c>
      <c r="M89" s="47"/>
      <c r="N89" s="47">
        <f>0.1*F89</f>
        <v>100000</v>
      </c>
      <c r="O89" s="47">
        <f>0.2*F89</f>
        <v>200000</v>
      </c>
      <c r="P89" s="46">
        <f>0.3*F89</f>
        <v>300000</v>
      </c>
      <c r="Q89" s="17" t="s">
        <v>354</v>
      </c>
      <c r="R89" s="18"/>
      <c r="S89" s="19">
        <v>44013</v>
      </c>
      <c r="T89" s="19">
        <v>44378</v>
      </c>
      <c r="U89" s="13" t="s">
        <v>362</v>
      </c>
      <c r="V89" s="13" t="s">
        <v>350</v>
      </c>
      <c r="W89" s="12" t="s">
        <v>131</v>
      </c>
      <c r="X89" s="12" t="s">
        <v>131</v>
      </c>
      <c r="Y89" s="17" t="s">
        <v>64</v>
      </c>
      <c r="Z89" s="12" t="s">
        <v>64</v>
      </c>
      <c r="AA89" s="12" t="s">
        <v>363</v>
      </c>
      <c r="AB89" s="16"/>
      <c r="AC89" s="16"/>
      <c r="AD89" s="16" t="s">
        <v>53</v>
      </c>
      <c r="AE89" s="16"/>
      <c r="AF89" s="16"/>
      <c r="AG89" s="16"/>
      <c r="AH89" s="16"/>
      <c r="AI89" s="16"/>
      <c r="AJ89" s="17"/>
      <c r="AK89" s="17"/>
      <c r="AL89" s="16">
        <f t="shared" si="11"/>
        <v>10.869565217391305</v>
      </c>
      <c r="AM89" s="12" t="s">
        <v>327</v>
      </c>
    </row>
    <row r="90" spans="1:39" ht="64.5" thickBot="1" x14ac:dyDescent="0.3">
      <c r="A90" s="4"/>
      <c r="B90" s="7" t="s">
        <v>322</v>
      </c>
      <c r="C90" s="7" t="s">
        <v>364</v>
      </c>
      <c r="D90" s="7"/>
      <c r="E90" s="7" t="s">
        <v>365</v>
      </c>
      <c r="F90" s="42">
        <v>1909000</v>
      </c>
      <c r="G90" s="42">
        <f t="shared" si="13"/>
        <v>954500</v>
      </c>
      <c r="H90" s="42">
        <f t="shared" si="14"/>
        <v>954500</v>
      </c>
      <c r="I90" s="4" t="s">
        <v>325</v>
      </c>
      <c r="J90" s="4"/>
      <c r="K90" s="4"/>
      <c r="L90" s="4">
        <v>90</v>
      </c>
      <c r="M90" s="48">
        <f>0.15*F90</f>
        <v>286350</v>
      </c>
      <c r="N90" s="48">
        <f>0.4*F90</f>
        <v>763600</v>
      </c>
      <c r="O90" s="48">
        <f>0.75*F90</f>
        <v>1431750</v>
      </c>
      <c r="P90" s="49">
        <f>F90</f>
        <v>1909000</v>
      </c>
      <c r="Q90" s="4" t="s">
        <v>64</v>
      </c>
      <c r="R90" s="20">
        <v>43952</v>
      </c>
      <c r="S90" s="8">
        <v>43983</v>
      </c>
      <c r="T90" s="8">
        <v>44105</v>
      </c>
      <c r="U90" s="5" t="s">
        <v>366</v>
      </c>
      <c r="V90" s="5" t="s">
        <v>350</v>
      </c>
      <c r="W90" s="7" t="s">
        <v>131</v>
      </c>
      <c r="X90" s="7" t="s">
        <v>131</v>
      </c>
      <c r="Y90" s="4" t="s">
        <v>64</v>
      </c>
      <c r="Z90" s="7" t="s">
        <v>64</v>
      </c>
      <c r="AA90" s="7" t="s">
        <v>647</v>
      </c>
      <c r="AB90" s="9"/>
      <c r="AC90" s="9"/>
      <c r="AD90" s="9" t="s">
        <v>53</v>
      </c>
      <c r="AE90" s="9"/>
      <c r="AF90" s="9"/>
      <c r="AG90" s="9"/>
      <c r="AH90" s="9"/>
      <c r="AI90" s="9"/>
      <c r="AJ90" s="4"/>
      <c r="AK90" s="4"/>
      <c r="AL90" s="9">
        <f t="shared" si="11"/>
        <v>20.75</v>
      </c>
      <c r="AM90" s="7" t="s">
        <v>327</v>
      </c>
    </row>
    <row r="91" spans="1:39" ht="95.25" customHeight="1" x14ac:dyDescent="0.25">
      <c r="A91" s="21">
        <v>1</v>
      </c>
      <c r="B91" s="22" t="s">
        <v>367</v>
      </c>
      <c r="C91" s="172" t="s">
        <v>368</v>
      </c>
      <c r="D91" s="172"/>
      <c r="E91" s="172" t="s">
        <v>369</v>
      </c>
      <c r="F91" s="43">
        <v>35000000</v>
      </c>
      <c r="G91" s="43">
        <v>17500000</v>
      </c>
      <c r="H91" s="43">
        <v>17500000</v>
      </c>
      <c r="I91" s="21" t="s">
        <v>299</v>
      </c>
      <c r="J91" s="21"/>
      <c r="K91" s="21"/>
      <c r="L91" s="21" t="s">
        <v>370</v>
      </c>
      <c r="M91" s="50"/>
      <c r="N91" s="50"/>
      <c r="O91" s="50"/>
      <c r="P91" s="50">
        <v>4000000</v>
      </c>
      <c r="Q91" s="21" t="s">
        <v>131</v>
      </c>
      <c r="R91" s="21"/>
      <c r="S91" s="23">
        <v>44378</v>
      </c>
      <c r="T91" s="23">
        <v>44743</v>
      </c>
      <c r="U91" s="24" t="s">
        <v>371</v>
      </c>
      <c r="V91" s="24" t="s">
        <v>372</v>
      </c>
      <c r="W91" s="21" t="s">
        <v>131</v>
      </c>
      <c r="X91" s="21" t="s">
        <v>131</v>
      </c>
      <c r="Y91" s="21" t="s">
        <v>131</v>
      </c>
      <c r="Z91" s="21" t="s">
        <v>131</v>
      </c>
      <c r="AA91" s="22" t="s">
        <v>373</v>
      </c>
      <c r="AB91" s="25" t="s">
        <v>53</v>
      </c>
      <c r="AC91" s="25" t="s">
        <v>53</v>
      </c>
      <c r="AD91" s="25"/>
      <c r="AE91" s="25" t="s">
        <v>53</v>
      </c>
      <c r="AF91" s="25"/>
      <c r="AG91" s="25"/>
      <c r="AH91" s="25"/>
      <c r="AI91" s="25"/>
      <c r="AJ91" s="22" t="s">
        <v>52</v>
      </c>
      <c r="AK91" s="34" t="s">
        <v>374</v>
      </c>
      <c r="AL91" s="25">
        <f t="shared" si="11"/>
        <v>380.43478260869563</v>
      </c>
      <c r="AM91" s="22" t="s">
        <v>375</v>
      </c>
    </row>
    <row r="92" spans="1:39" ht="111" customHeight="1" thickBot="1" x14ac:dyDescent="0.3">
      <c r="A92" s="26">
        <v>1</v>
      </c>
      <c r="B92" s="27" t="s">
        <v>376</v>
      </c>
      <c r="C92" s="27" t="s">
        <v>377</v>
      </c>
      <c r="D92" s="254"/>
      <c r="E92" s="261" t="s">
        <v>378</v>
      </c>
      <c r="F92" s="44">
        <v>375000000</v>
      </c>
      <c r="G92" s="44">
        <v>50000000</v>
      </c>
      <c r="H92" s="44">
        <v>50000000</v>
      </c>
      <c r="I92" s="27" t="s">
        <v>379</v>
      </c>
      <c r="J92" s="27" t="s">
        <v>380</v>
      </c>
      <c r="K92" s="27" t="s">
        <v>381</v>
      </c>
      <c r="L92" s="26" t="s">
        <v>370</v>
      </c>
      <c r="M92" s="51"/>
      <c r="N92" s="51"/>
      <c r="O92" s="51"/>
      <c r="P92" s="51">
        <v>35000000</v>
      </c>
      <c r="Q92" s="26" t="s">
        <v>382</v>
      </c>
      <c r="R92" s="26" t="s">
        <v>383</v>
      </c>
      <c r="S92" s="30">
        <v>44562</v>
      </c>
      <c r="T92" s="31">
        <v>45474</v>
      </c>
      <c r="U92" s="29" t="s">
        <v>384</v>
      </c>
      <c r="V92" s="28" t="s">
        <v>385</v>
      </c>
      <c r="W92" s="26" t="s">
        <v>131</v>
      </c>
      <c r="X92" s="26" t="s">
        <v>131</v>
      </c>
      <c r="Y92" s="26" t="s">
        <v>131</v>
      </c>
      <c r="Z92" s="26" t="s">
        <v>131</v>
      </c>
      <c r="AA92" s="256" t="s">
        <v>386</v>
      </c>
      <c r="AB92" s="32" t="s">
        <v>61</v>
      </c>
      <c r="AC92" s="32" t="s">
        <v>61</v>
      </c>
      <c r="AD92" s="32" t="s">
        <v>61</v>
      </c>
      <c r="AE92" s="32" t="s">
        <v>61</v>
      </c>
      <c r="AF92" s="33"/>
      <c r="AG92" s="33"/>
      <c r="AH92" s="33"/>
      <c r="AI92" s="33"/>
      <c r="AJ92" s="27" t="s">
        <v>387</v>
      </c>
      <c r="AK92" s="27" t="s">
        <v>374</v>
      </c>
      <c r="AL92" s="33">
        <f t="shared" si="11"/>
        <v>4076.086956521739</v>
      </c>
      <c r="AM92" s="27" t="s">
        <v>375</v>
      </c>
    </row>
    <row r="93" spans="1:39" ht="76.5" x14ac:dyDescent="0.25">
      <c r="A93" s="173">
        <v>1</v>
      </c>
      <c r="B93" s="92" t="s">
        <v>388</v>
      </c>
      <c r="C93" s="92" t="s">
        <v>389</v>
      </c>
      <c r="D93" s="258" t="s">
        <v>672</v>
      </c>
      <c r="E93" s="260" t="s">
        <v>390</v>
      </c>
      <c r="F93" s="123">
        <v>95000000</v>
      </c>
      <c r="G93" s="123">
        <v>47500000</v>
      </c>
      <c r="H93" s="123">
        <v>47500000</v>
      </c>
      <c r="I93" s="93" t="s">
        <v>68</v>
      </c>
      <c r="J93" s="93"/>
      <c r="K93" s="93"/>
      <c r="L93" s="93">
        <v>90</v>
      </c>
      <c r="M93" s="94">
        <v>500000</v>
      </c>
      <c r="N93" s="94">
        <v>4000000</v>
      </c>
      <c r="O93" s="94">
        <v>10000000</v>
      </c>
      <c r="P93" s="94">
        <v>30000000</v>
      </c>
      <c r="Q93" s="93" t="s">
        <v>131</v>
      </c>
      <c r="R93" s="93"/>
      <c r="S93" s="95">
        <v>44044</v>
      </c>
      <c r="T93" s="95">
        <v>44926</v>
      </c>
      <c r="U93" s="124" t="s">
        <v>391</v>
      </c>
      <c r="V93" s="124" t="s">
        <v>392</v>
      </c>
      <c r="W93" s="93" t="s">
        <v>131</v>
      </c>
      <c r="X93" s="93" t="s">
        <v>131</v>
      </c>
      <c r="Y93" s="93" t="s">
        <v>131</v>
      </c>
      <c r="Z93" s="93" t="s">
        <v>64</v>
      </c>
      <c r="AA93" s="93" t="s">
        <v>393</v>
      </c>
      <c r="AB93" s="96" t="s">
        <v>53</v>
      </c>
      <c r="AC93" s="96"/>
      <c r="AD93" s="96"/>
      <c r="AE93" s="96"/>
      <c r="AF93" s="96"/>
      <c r="AG93" s="96"/>
      <c r="AH93" s="96"/>
      <c r="AI93" s="96" t="s">
        <v>53</v>
      </c>
      <c r="AJ93" s="93" t="s">
        <v>394</v>
      </c>
      <c r="AK93" s="93"/>
      <c r="AL93" s="96">
        <f t="shared" ref="AL93:AL114" si="15">F93/92000</f>
        <v>1032.608695652174</v>
      </c>
      <c r="AM93" s="93" t="s">
        <v>395</v>
      </c>
    </row>
    <row r="94" spans="1:39" ht="89.25" x14ac:dyDescent="0.25">
      <c r="A94" s="173">
        <v>2</v>
      </c>
      <c r="B94" s="92" t="s">
        <v>388</v>
      </c>
      <c r="C94" s="92" t="s">
        <v>396</v>
      </c>
      <c r="D94" s="258" t="s">
        <v>673</v>
      </c>
      <c r="E94" s="92" t="s">
        <v>397</v>
      </c>
      <c r="F94" s="123">
        <v>17000000</v>
      </c>
      <c r="G94" s="123">
        <v>8500000</v>
      </c>
      <c r="H94" s="123">
        <v>8500000</v>
      </c>
      <c r="I94" s="93" t="s">
        <v>46</v>
      </c>
      <c r="J94" s="93"/>
      <c r="K94" s="93"/>
      <c r="L94" s="93">
        <v>270</v>
      </c>
      <c r="M94" s="94">
        <v>500000</v>
      </c>
      <c r="N94" s="94">
        <v>1000000</v>
      </c>
      <c r="O94" s="94">
        <v>1500000</v>
      </c>
      <c r="P94" s="94">
        <v>10000000</v>
      </c>
      <c r="Q94" s="93" t="s">
        <v>64</v>
      </c>
      <c r="R94" s="93" t="s">
        <v>398</v>
      </c>
      <c r="S94" s="95">
        <v>44348</v>
      </c>
      <c r="T94" s="95">
        <v>44926</v>
      </c>
      <c r="U94" s="124" t="s">
        <v>399</v>
      </c>
      <c r="V94" s="124" t="s">
        <v>400</v>
      </c>
      <c r="W94" s="93" t="s">
        <v>64</v>
      </c>
      <c r="X94" s="93" t="s">
        <v>131</v>
      </c>
      <c r="Y94" s="93" t="s">
        <v>64</v>
      </c>
      <c r="Z94" s="93" t="s">
        <v>131</v>
      </c>
      <c r="AA94" s="93" t="s">
        <v>401</v>
      </c>
      <c r="AB94" s="96" t="s">
        <v>53</v>
      </c>
      <c r="AC94" s="96" t="s">
        <v>53</v>
      </c>
      <c r="AD94" s="96"/>
      <c r="AE94" s="96"/>
      <c r="AF94" s="96"/>
      <c r="AG94" s="96"/>
      <c r="AH94" s="96"/>
      <c r="AI94" s="96" t="s">
        <v>53</v>
      </c>
      <c r="AJ94" s="93" t="s">
        <v>394</v>
      </c>
      <c r="AK94" s="93"/>
      <c r="AL94" s="96">
        <f t="shared" si="15"/>
        <v>184.78260869565219</v>
      </c>
      <c r="AM94" s="93" t="s">
        <v>395</v>
      </c>
    </row>
    <row r="95" spans="1:39" ht="74.25" customHeight="1" x14ac:dyDescent="0.25">
      <c r="A95" s="173">
        <v>6</v>
      </c>
      <c r="B95" s="92" t="s">
        <v>388</v>
      </c>
      <c r="C95" s="92" t="s">
        <v>402</v>
      </c>
      <c r="D95" s="258" t="s">
        <v>674</v>
      </c>
      <c r="E95" s="92" t="s">
        <v>652</v>
      </c>
      <c r="F95" s="123">
        <v>4600000</v>
      </c>
      <c r="G95" s="123">
        <v>4120000</v>
      </c>
      <c r="H95" s="123">
        <v>480000</v>
      </c>
      <c r="I95" s="93" t="s">
        <v>403</v>
      </c>
      <c r="J95" s="93"/>
      <c r="K95" s="93" t="s">
        <v>404</v>
      </c>
      <c r="L95" s="93">
        <v>90</v>
      </c>
      <c r="M95" s="94">
        <v>100000</v>
      </c>
      <c r="N95" s="94">
        <v>500000</v>
      </c>
      <c r="O95" s="94">
        <v>3500000</v>
      </c>
      <c r="P95" s="94">
        <v>500000</v>
      </c>
      <c r="Q95" s="93" t="s">
        <v>131</v>
      </c>
      <c r="R95" s="93"/>
      <c r="S95" s="95">
        <v>44044</v>
      </c>
      <c r="T95" s="95">
        <v>44408</v>
      </c>
      <c r="U95" s="124" t="s">
        <v>391</v>
      </c>
      <c r="V95" s="124" t="s">
        <v>405</v>
      </c>
      <c r="W95" s="93" t="s">
        <v>64</v>
      </c>
      <c r="X95" s="93" t="s">
        <v>131</v>
      </c>
      <c r="Y95" s="93" t="s">
        <v>64</v>
      </c>
      <c r="Z95" s="93" t="s">
        <v>131</v>
      </c>
      <c r="AA95" s="93" t="s">
        <v>406</v>
      </c>
      <c r="AB95" s="96" t="s">
        <v>53</v>
      </c>
      <c r="AC95" s="96" t="s">
        <v>53</v>
      </c>
      <c r="AD95" s="96"/>
      <c r="AE95" s="96"/>
      <c r="AF95" s="96"/>
      <c r="AG95" s="96"/>
      <c r="AH95" s="96"/>
      <c r="AI95" s="96"/>
      <c r="AJ95" s="93" t="s">
        <v>52</v>
      </c>
      <c r="AK95" s="93"/>
      <c r="AL95" s="96">
        <f t="shared" si="15"/>
        <v>50</v>
      </c>
      <c r="AM95" s="93" t="s">
        <v>395</v>
      </c>
    </row>
    <row r="96" spans="1:39" ht="76.5" x14ac:dyDescent="0.25">
      <c r="A96" s="173">
        <v>3</v>
      </c>
      <c r="B96" s="92" t="s">
        <v>388</v>
      </c>
      <c r="C96" s="92" t="s">
        <v>407</v>
      </c>
      <c r="D96" s="258" t="s">
        <v>675</v>
      </c>
      <c r="E96" s="92" t="s">
        <v>408</v>
      </c>
      <c r="F96" s="123">
        <v>22000000</v>
      </c>
      <c r="G96" s="123">
        <v>11000000</v>
      </c>
      <c r="H96" s="123">
        <v>11000000</v>
      </c>
      <c r="I96" s="93" t="s">
        <v>46</v>
      </c>
      <c r="J96" s="93"/>
      <c r="K96" s="93"/>
      <c r="L96" s="93">
        <v>270</v>
      </c>
      <c r="M96" s="94">
        <v>1000000</v>
      </c>
      <c r="N96" s="94">
        <v>2000000</v>
      </c>
      <c r="O96" s="94">
        <v>3000000</v>
      </c>
      <c r="P96" s="94">
        <v>10000000</v>
      </c>
      <c r="Q96" s="93" t="s">
        <v>64</v>
      </c>
      <c r="R96" s="93" t="s">
        <v>398</v>
      </c>
      <c r="S96" s="95">
        <v>44348</v>
      </c>
      <c r="T96" s="95">
        <v>44926</v>
      </c>
      <c r="U96" s="124" t="s">
        <v>399</v>
      </c>
      <c r="V96" s="124" t="s">
        <v>653</v>
      </c>
      <c r="W96" s="93" t="s">
        <v>64</v>
      </c>
      <c r="X96" s="93" t="s">
        <v>131</v>
      </c>
      <c r="Y96" s="93" t="s">
        <v>131</v>
      </c>
      <c r="Z96" s="93" t="s">
        <v>64</v>
      </c>
      <c r="AA96" s="93" t="s">
        <v>409</v>
      </c>
      <c r="AB96" s="96" t="s">
        <v>53</v>
      </c>
      <c r="AC96" s="96" t="s">
        <v>53</v>
      </c>
      <c r="AD96" s="96"/>
      <c r="AE96" s="96"/>
      <c r="AF96" s="96"/>
      <c r="AG96" s="96"/>
      <c r="AH96" s="96"/>
      <c r="AI96" s="96"/>
      <c r="AJ96" s="93" t="s">
        <v>52</v>
      </c>
      <c r="AK96" s="93"/>
      <c r="AL96" s="96">
        <f t="shared" si="15"/>
        <v>239.13043478260869</v>
      </c>
      <c r="AM96" s="93" t="s">
        <v>395</v>
      </c>
    </row>
    <row r="97" spans="1:39" ht="51" x14ac:dyDescent="0.25">
      <c r="A97" s="173">
        <v>5</v>
      </c>
      <c r="B97" s="92" t="s">
        <v>388</v>
      </c>
      <c r="C97" s="92" t="s">
        <v>410</v>
      </c>
      <c r="D97" s="258" t="s">
        <v>676</v>
      </c>
      <c r="E97" s="92" t="s">
        <v>654</v>
      </c>
      <c r="F97" s="123">
        <v>250000</v>
      </c>
      <c r="G97" s="123">
        <v>250000</v>
      </c>
      <c r="H97" s="123"/>
      <c r="I97" s="93"/>
      <c r="J97" s="93"/>
      <c r="K97" s="93"/>
      <c r="L97" s="93">
        <v>90</v>
      </c>
      <c r="M97" s="94">
        <v>100000</v>
      </c>
      <c r="N97" s="94">
        <v>250000</v>
      </c>
      <c r="O97" s="94"/>
      <c r="P97" s="94"/>
      <c r="Q97" s="93" t="s">
        <v>64</v>
      </c>
      <c r="R97" s="93" t="s">
        <v>411</v>
      </c>
      <c r="S97" s="95">
        <v>44075</v>
      </c>
      <c r="T97" s="95">
        <v>44196</v>
      </c>
      <c r="U97" s="124" t="s">
        <v>412</v>
      </c>
      <c r="V97" s="124" t="s">
        <v>413</v>
      </c>
      <c r="W97" s="93" t="s">
        <v>131</v>
      </c>
      <c r="X97" s="93" t="s">
        <v>64</v>
      </c>
      <c r="Y97" s="93" t="s">
        <v>131</v>
      </c>
      <c r="Z97" s="93" t="s">
        <v>64</v>
      </c>
      <c r="AA97" s="93" t="s">
        <v>393</v>
      </c>
      <c r="AB97" s="96" t="s">
        <v>53</v>
      </c>
      <c r="AC97" s="96" t="s">
        <v>53</v>
      </c>
      <c r="AD97" s="96"/>
      <c r="AE97" s="96"/>
      <c r="AF97" s="96"/>
      <c r="AG97" s="96"/>
      <c r="AH97" s="96"/>
      <c r="AI97" s="96"/>
      <c r="AJ97" s="93" t="s">
        <v>52</v>
      </c>
      <c r="AK97" s="93"/>
      <c r="AL97" s="96">
        <f t="shared" si="15"/>
        <v>2.7173913043478262</v>
      </c>
      <c r="AM97" s="93" t="s">
        <v>395</v>
      </c>
    </row>
    <row r="98" spans="1:39" s="177" customFormat="1" ht="63.75" customHeight="1" thickBot="1" x14ac:dyDescent="0.3">
      <c r="A98" s="174">
        <v>4</v>
      </c>
      <c r="B98" s="175" t="s">
        <v>388</v>
      </c>
      <c r="C98" s="175" t="s">
        <v>414</v>
      </c>
      <c r="D98" s="259" t="s">
        <v>677</v>
      </c>
      <c r="E98" s="175" t="s">
        <v>415</v>
      </c>
      <c r="F98" s="156">
        <v>2000000</v>
      </c>
      <c r="G98" s="156">
        <v>2000000</v>
      </c>
      <c r="H98" s="156"/>
      <c r="I98" s="134"/>
      <c r="J98" s="134"/>
      <c r="K98" s="134"/>
      <c r="L98" s="134">
        <v>270</v>
      </c>
      <c r="M98" s="176">
        <v>200000</v>
      </c>
      <c r="N98" s="176">
        <v>500000</v>
      </c>
      <c r="O98" s="176">
        <v>1000000</v>
      </c>
      <c r="P98" s="176">
        <v>2000000</v>
      </c>
      <c r="Q98" s="134" t="s">
        <v>64</v>
      </c>
      <c r="R98" s="134" t="s">
        <v>411</v>
      </c>
      <c r="S98" s="157">
        <v>44256</v>
      </c>
      <c r="T98" s="157">
        <v>44561</v>
      </c>
      <c r="U98" s="139" t="s">
        <v>399</v>
      </c>
      <c r="V98" s="139" t="s">
        <v>416</v>
      </c>
      <c r="W98" s="134" t="s">
        <v>64</v>
      </c>
      <c r="X98" s="134" t="s">
        <v>131</v>
      </c>
      <c r="Y98" s="134" t="s">
        <v>131</v>
      </c>
      <c r="Z98" s="134" t="s">
        <v>64</v>
      </c>
      <c r="AA98" s="134" t="s">
        <v>393</v>
      </c>
      <c r="AB98" s="140" t="s">
        <v>53</v>
      </c>
      <c r="AC98" s="140"/>
      <c r="AD98" s="140"/>
      <c r="AE98" s="140"/>
      <c r="AF98" s="140"/>
      <c r="AG98" s="140"/>
      <c r="AH98" s="140"/>
      <c r="AI98" s="140"/>
      <c r="AJ98" s="134" t="s">
        <v>52</v>
      </c>
      <c r="AK98" s="134"/>
      <c r="AL98" s="140">
        <f t="shared" si="15"/>
        <v>21.739130434782609</v>
      </c>
      <c r="AM98" s="134" t="s">
        <v>395</v>
      </c>
    </row>
    <row r="99" spans="1:39" s="177" customFormat="1" ht="89.25" x14ac:dyDescent="0.25">
      <c r="A99" s="76">
        <v>1</v>
      </c>
      <c r="B99" s="78" t="s">
        <v>417</v>
      </c>
      <c r="C99" s="78" t="s">
        <v>418</v>
      </c>
      <c r="D99" s="78"/>
      <c r="E99" s="78" t="s">
        <v>419</v>
      </c>
      <c r="F99" s="79">
        <v>3067700</v>
      </c>
      <c r="G99" s="79">
        <v>2000000</v>
      </c>
      <c r="H99" s="80">
        <v>1062700</v>
      </c>
      <c r="I99" s="76" t="s">
        <v>46</v>
      </c>
      <c r="J99" s="81"/>
      <c r="K99" s="81">
        <v>1000000</v>
      </c>
      <c r="L99" s="76">
        <v>270</v>
      </c>
      <c r="M99" s="79">
        <v>200000</v>
      </c>
      <c r="N99" s="79">
        <v>200000</v>
      </c>
      <c r="O99" s="79">
        <v>500000</v>
      </c>
      <c r="P99" s="79">
        <v>1300000</v>
      </c>
      <c r="Q99" s="76" t="s">
        <v>131</v>
      </c>
      <c r="R99" s="76"/>
      <c r="S99" s="82">
        <v>44287</v>
      </c>
      <c r="T99" s="82">
        <v>44804</v>
      </c>
      <c r="U99" s="76" t="s">
        <v>420</v>
      </c>
      <c r="V99" s="76" t="s">
        <v>421</v>
      </c>
      <c r="W99" s="76" t="s">
        <v>131</v>
      </c>
      <c r="X99" s="76" t="s">
        <v>131</v>
      </c>
      <c r="Y99" s="76" t="s">
        <v>131</v>
      </c>
      <c r="Z99" s="76" t="s">
        <v>64</v>
      </c>
      <c r="AA99" s="78" t="s">
        <v>422</v>
      </c>
      <c r="AB99" s="77" t="s">
        <v>53</v>
      </c>
      <c r="AC99" s="77" t="s">
        <v>53</v>
      </c>
      <c r="AD99" s="77"/>
      <c r="AE99" s="77"/>
      <c r="AF99" s="77"/>
      <c r="AG99" s="77"/>
      <c r="AH99" s="77"/>
      <c r="AI99" s="77"/>
      <c r="AJ99" s="78" t="s">
        <v>422</v>
      </c>
      <c r="AK99" s="76"/>
      <c r="AL99" s="77">
        <f t="shared" si="15"/>
        <v>33.344565217391306</v>
      </c>
      <c r="AM99" s="78" t="s">
        <v>423</v>
      </c>
    </row>
    <row r="100" spans="1:39" s="177" customFormat="1" ht="76.5" x14ac:dyDescent="0.25">
      <c r="A100" s="76">
        <v>1</v>
      </c>
      <c r="B100" s="78" t="s">
        <v>417</v>
      </c>
      <c r="C100" s="78" t="s">
        <v>424</v>
      </c>
      <c r="D100" s="78"/>
      <c r="E100" s="78" t="s">
        <v>419</v>
      </c>
      <c r="F100" s="79">
        <v>4000000</v>
      </c>
      <c r="G100" s="79">
        <v>2000000</v>
      </c>
      <c r="H100" s="80">
        <v>2000000</v>
      </c>
      <c r="I100" s="76" t="s">
        <v>46</v>
      </c>
      <c r="J100" s="76"/>
      <c r="K100" s="76"/>
      <c r="L100" s="76" t="s">
        <v>51</v>
      </c>
      <c r="M100" s="79">
        <v>20000</v>
      </c>
      <c r="N100" s="79">
        <v>150000</v>
      </c>
      <c r="O100" s="79">
        <v>200000</v>
      </c>
      <c r="P100" s="79">
        <v>300000</v>
      </c>
      <c r="Q100" s="76" t="s">
        <v>131</v>
      </c>
      <c r="R100" s="76"/>
      <c r="S100" s="82">
        <v>44409</v>
      </c>
      <c r="T100" s="82">
        <v>44896</v>
      </c>
      <c r="U100" s="76" t="s">
        <v>425</v>
      </c>
      <c r="V100" s="78" t="s">
        <v>426</v>
      </c>
      <c r="W100" s="76" t="s">
        <v>131</v>
      </c>
      <c r="X100" s="76" t="s">
        <v>131</v>
      </c>
      <c r="Y100" s="76" t="s">
        <v>131</v>
      </c>
      <c r="Z100" s="78" t="s">
        <v>64</v>
      </c>
      <c r="AA100" s="78" t="s">
        <v>427</v>
      </c>
      <c r="AB100" s="77" t="s">
        <v>53</v>
      </c>
      <c r="AC100" s="77" t="s">
        <v>53</v>
      </c>
      <c r="AD100" s="77"/>
      <c r="AE100" s="77"/>
      <c r="AF100" s="77"/>
      <c r="AG100" s="77"/>
      <c r="AH100" s="77"/>
      <c r="AI100" s="77"/>
      <c r="AJ100" s="78" t="s">
        <v>427</v>
      </c>
      <c r="AK100" s="76"/>
      <c r="AL100" s="77">
        <f t="shared" si="15"/>
        <v>43.478260869565219</v>
      </c>
      <c r="AM100" s="78" t="s">
        <v>423</v>
      </c>
    </row>
    <row r="101" spans="1:39" s="177" customFormat="1" ht="76.5" x14ac:dyDescent="0.25">
      <c r="A101" s="76">
        <v>3</v>
      </c>
      <c r="B101" s="78" t="s">
        <v>417</v>
      </c>
      <c r="C101" s="78" t="s">
        <v>428</v>
      </c>
      <c r="D101" s="78"/>
      <c r="E101" s="78" t="s">
        <v>429</v>
      </c>
      <c r="F101" s="79">
        <v>8000000</v>
      </c>
      <c r="G101" s="79">
        <v>5000000</v>
      </c>
      <c r="H101" s="80">
        <v>3000000</v>
      </c>
      <c r="I101" s="76" t="s">
        <v>46</v>
      </c>
      <c r="J101" s="76"/>
      <c r="K101" s="76"/>
      <c r="L101" s="76" t="s">
        <v>430</v>
      </c>
      <c r="M101" s="79"/>
      <c r="N101" s="79">
        <v>150000</v>
      </c>
      <c r="O101" s="79">
        <v>200000</v>
      </c>
      <c r="P101" s="79">
        <v>500000</v>
      </c>
      <c r="Q101" s="76" t="s">
        <v>64</v>
      </c>
      <c r="R101" s="76" t="s">
        <v>34</v>
      </c>
      <c r="S101" s="82">
        <v>44531</v>
      </c>
      <c r="T101" s="82">
        <v>45017</v>
      </c>
      <c r="U101" s="76" t="s">
        <v>431</v>
      </c>
      <c r="V101" s="78" t="s">
        <v>426</v>
      </c>
      <c r="W101" s="76" t="s">
        <v>131</v>
      </c>
      <c r="X101" s="76" t="s">
        <v>131</v>
      </c>
      <c r="Y101" s="76" t="s">
        <v>131</v>
      </c>
      <c r="Z101" s="76" t="s">
        <v>64</v>
      </c>
      <c r="AA101" s="78" t="s">
        <v>427</v>
      </c>
      <c r="AB101" s="77" t="s">
        <v>53</v>
      </c>
      <c r="AC101" s="77" t="s">
        <v>53</v>
      </c>
      <c r="AD101" s="77"/>
      <c r="AE101" s="77"/>
      <c r="AF101" s="77"/>
      <c r="AG101" s="77"/>
      <c r="AH101" s="77"/>
      <c r="AI101" s="77"/>
      <c r="AJ101" s="78" t="s">
        <v>427</v>
      </c>
      <c r="AK101" s="76"/>
      <c r="AL101" s="77"/>
      <c r="AM101" s="78" t="s">
        <v>423</v>
      </c>
    </row>
    <row r="102" spans="1:39" s="177" customFormat="1" ht="76.5" x14ac:dyDescent="0.25">
      <c r="A102" s="76">
        <v>2</v>
      </c>
      <c r="B102" s="78" t="s">
        <v>417</v>
      </c>
      <c r="C102" s="78" t="s">
        <v>432</v>
      </c>
      <c r="D102" s="78"/>
      <c r="E102" s="78" t="s">
        <v>433</v>
      </c>
      <c r="F102" s="79">
        <v>8000000</v>
      </c>
      <c r="G102" s="79">
        <v>5000000</v>
      </c>
      <c r="H102" s="80">
        <v>3000000</v>
      </c>
      <c r="I102" s="76" t="s">
        <v>46</v>
      </c>
      <c r="J102" s="76"/>
      <c r="K102" s="76"/>
      <c r="L102" s="76" t="s">
        <v>430</v>
      </c>
      <c r="M102" s="79"/>
      <c r="N102" s="79">
        <v>150000</v>
      </c>
      <c r="O102" s="79">
        <v>250000</v>
      </c>
      <c r="P102" s="79">
        <v>600000</v>
      </c>
      <c r="Q102" s="76" t="s">
        <v>64</v>
      </c>
      <c r="R102" s="76" t="s">
        <v>434</v>
      </c>
      <c r="S102" s="82">
        <v>44531</v>
      </c>
      <c r="T102" s="82">
        <v>45017</v>
      </c>
      <c r="U102" s="76" t="s">
        <v>435</v>
      </c>
      <c r="V102" s="78" t="s">
        <v>436</v>
      </c>
      <c r="W102" s="76" t="s">
        <v>131</v>
      </c>
      <c r="X102" s="76" t="s">
        <v>131</v>
      </c>
      <c r="Y102" s="76" t="s">
        <v>131</v>
      </c>
      <c r="Z102" s="78" t="s">
        <v>64</v>
      </c>
      <c r="AA102" s="78" t="s">
        <v>427</v>
      </c>
      <c r="AB102" s="77" t="s">
        <v>53</v>
      </c>
      <c r="AC102" s="77" t="s">
        <v>53</v>
      </c>
      <c r="AD102" s="77"/>
      <c r="AE102" s="77"/>
      <c r="AF102" s="77"/>
      <c r="AG102" s="77"/>
      <c r="AH102" s="77"/>
      <c r="AI102" s="77"/>
      <c r="AJ102" s="78" t="s">
        <v>427</v>
      </c>
      <c r="AK102" s="76"/>
      <c r="AL102" s="77"/>
      <c r="AM102" s="78" t="s">
        <v>423</v>
      </c>
    </row>
    <row r="103" spans="1:39" s="177" customFormat="1" ht="51" x14ac:dyDescent="0.25">
      <c r="A103" s="76">
        <v>1</v>
      </c>
      <c r="B103" s="78" t="s">
        <v>417</v>
      </c>
      <c r="C103" s="78" t="s">
        <v>437</v>
      </c>
      <c r="D103" s="78"/>
      <c r="E103" s="78" t="s">
        <v>438</v>
      </c>
      <c r="F103" s="79">
        <v>200000</v>
      </c>
      <c r="G103" s="79">
        <v>150000</v>
      </c>
      <c r="H103" s="80">
        <v>50000</v>
      </c>
      <c r="I103" s="76" t="s">
        <v>46</v>
      </c>
      <c r="J103" s="76"/>
      <c r="K103" s="76"/>
      <c r="L103" s="76">
        <v>180</v>
      </c>
      <c r="M103" s="79">
        <v>20000</v>
      </c>
      <c r="N103" s="79">
        <v>50000</v>
      </c>
      <c r="O103" s="79">
        <v>200000</v>
      </c>
      <c r="P103" s="79">
        <v>200000</v>
      </c>
      <c r="Q103" s="76" t="s">
        <v>354</v>
      </c>
      <c r="R103" s="76" t="s">
        <v>354</v>
      </c>
      <c r="S103" s="82">
        <v>44013</v>
      </c>
      <c r="T103" s="82">
        <v>44075</v>
      </c>
      <c r="U103" s="78" t="s">
        <v>439</v>
      </c>
      <c r="V103" s="76"/>
      <c r="W103" s="76" t="s">
        <v>131</v>
      </c>
      <c r="X103" s="76" t="s">
        <v>131</v>
      </c>
      <c r="Y103" s="76" t="s">
        <v>131</v>
      </c>
      <c r="Z103" s="76" t="s">
        <v>64</v>
      </c>
      <c r="AA103" s="78" t="s">
        <v>440</v>
      </c>
      <c r="AB103" s="77"/>
      <c r="AC103" s="77"/>
      <c r="AD103" s="77"/>
      <c r="AE103" s="77"/>
      <c r="AF103" s="77" t="s">
        <v>53</v>
      </c>
      <c r="AG103" s="77"/>
      <c r="AH103" s="77"/>
      <c r="AI103" s="77"/>
      <c r="AJ103" s="78" t="s">
        <v>440</v>
      </c>
      <c r="AK103" s="76"/>
      <c r="AL103" s="77">
        <f t="shared" si="15"/>
        <v>2.1739130434782608</v>
      </c>
      <c r="AM103" s="78" t="s">
        <v>423</v>
      </c>
    </row>
    <row r="104" spans="1:39" s="177" customFormat="1" ht="89.25" x14ac:dyDescent="0.25">
      <c r="A104" s="76">
        <v>1</v>
      </c>
      <c r="B104" s="78" t="s">
        <v>417</v>
      </c>
      <c r="C104" s="78" t="s">
        <v>441</v>
      </c>
      <c r="D104" s="78"/>
      <c r="E104" s="78" t="s">
        <v>442</v>
      </c>
      <c r="F104" s="106">
        <v>10000000</v>
      </c>
      <c r="G104" s="79">
        <v>5000000</v>
      </c>
      <c r="H104" s="80">
        <v>5000000</v>
      </c>
      <c r="I104" s="76" t="s">
        <v>46</v>
      </c>
      <c r="J104" s="76"/>
      <c r="K104" s="76"/>
      <c r="L104" s="76">
        <v>0</v>
      </c>
      <c r="M104" s="79">
        <v>100000</v>
      </c>
      <c r="N104" s="79">
        <v>300000</v>
      </c>
      <c r="O104" s="79">
        <v>2000000</v>
      </c>
      <c r="P104" s="79">
        <v>4000000</v>
      </c>
      <c r="Q104" s="76" t="s">
        <v>354</v>
      </c>
      <c r="R104" s="76" t="s">
        <v>354</v>
      </c>
      <c r="S104" s="82">
        <v>43952</v>
      </c>
      <c r="T104" s="82">
        <v>44621</v>
      </c>
      <c r="U104" s="78" t="s">
        <v>443</v>
      </c>
      <c r="V104" s="76"/>
      <c r="W104" s="76" t="s">
        <v>131</v>
      </c>
      <c r="X104" s="76" t="s">
        <v>131</v>
      </c>
      <c r="Y104" s="76" t="s">
        <v>131</v>
      </c>
      <c r="Z104" s="78" t="s">
        <v>64</v>
      </c>
      <c r="AA104" s="78" t="s">
        <v>444</v>
      </c>
      <c r="AB104" s="77" t="s">
        <v>53</v>
      </c>
      <c r="AC104" s="77"/>
      <c r="AD104" s="77"/>
      <c r="AE104" s="77"/>
      <c r="AF104" s="77"/>
      <c r="AG104" s="77"/>
      <c r="AH104" s="77"/>
      <c r="AI104" s="77"/>
      <c r="AJ104" s="78" t="s">
        <v>444</v>
      </c>
      <c r="AK104" s="76"/>
      <c r="AL104" s="77">
        <f t="shared" si="15"/>
        <v>108.69565217391305</v>
      </c>
      <c r="AM104" s="78" t="s">
        <v>423</v>
      </c>
    </row>
    <row r="105" spans="1:39" s="177" customFormat="1" ht="114.75" x14ac:dyDescent="0.25">
      <c r="A105" s="76">
        <v>1</v>
      </c>
      <c r="B105" s="78" t="s">
        <v>445</v>
      </c>
      <c r="C105" s="78" t="s">
        <v>446</v>
      </c>
      <c r="D105" s="78"/>
      <c r="E105" s="78" t="s">
        <v>447</v>
      </c>
      <c r="F105" s="106">
        <v>50000000</v>
      </c>
      <c r="G105" s="79">
        <v>30000000</v>
      </c>
      <c r="H105" s="80">
        <v>20000000</v>
      </c>
      <c r="I105" s="76" t="s">
        <v>46</v>
      </c>
      <c r="J105" s="76"/>
      <c r="K105" s="76"/>
      <c r="L105" s="76">
        <v>0</v>
      </c>
      <c r="M105" s="79">
        <v>400000</v>
      </c>
      <c r="N105" s="79">
        <v>3000000</v>
      </c>
      <c r="O105" s="79">
        <v>6000000</v>
      </c>
      <c r="P105" s="79">
        <v>10000000</v>
      </c>
      <c r="Q105" s="76" t="s">
        <v>354</v>
      </c>
      <c r="R105" s="76" t="s">
        <v>354</v>
      </c>
      <c r="S105" s="82">
        <v>43952</v>
      </c>
      <c r="T105" s="82">
        <v>44621</v>
      </c>
      <c r="U105" s="78" t="s">
        <v>443</v>
      </c>
      <c r="V105" s="78" t="s">
        <v>448</v>
      </c>
      <c r="W105" s="76" t="s">
        <v>131</v>
      </c>
      <c r="X105" s="76" t="s">
        <v>131</v>
      </c>
      <c r="Y105" s="76" t="s">
        <v>131</v>
      </c>
      <c r="Z105" s="76" t="s">
        <v>64</v>
      </c>
      <c r="AA105" s="78" t="s">
        <v>449</v>
      </c>
      <c r="AB105" s="77" t="s">
        <v>53</v>
      </c>
      <c r="AC105" s="77"/>
      <c r="AD105" s="77"/>
      <c r="AE105" s="77"/>
      <c r="AF105" s="77"/>
      <c r="AG105" s="77"/>
      <c r="AH105" s="77"/>
      <c r="AI105" s="77"/>
      <c r="AJ105" s="78" t="s">
        <v>449</v>
      </c>
      <c r="AK105" s="76"/>
      <c r="AL105" s="77">
        <f t="shared" si="15"/>
        <v>543.47826086956525</v>
      </c>
      <c r="AM105" s="78" t="s">
        <v>423</v>
      </c>
    </row>
    <row r="106" spans="1:39" s="177" customFormat="1" ht="114.75" x14ac:dyDescent="0.25">
      <c r="A106" s="76">
        <v>2</v>
      </c>
      <c r="B106" s="78" t="s">
        <v>450</v>
      </c>
      <c r="C106" s="78" t="s">
        <v>451</v>
      </c>
      <c r="D106" s="78"/>
      <c r="E106" s="78" t="s">
        <v>452</v>
      </c>
      <c r="F106" s="79">
        <v>350000</v>
      </c>
      <c r="G106" s="79">
        <v>250000</v>
      </c>
      <c r="H106" s="80">
        <v>100000</v>
      </c>
      <c r="I106" s="78" t="s">
        <v>453</v>
      </c>
      <c r="J106" s="76"/>
      <c r="K106" s="76"/>
      <c r="L106" s="76">
        <v>0</v>
      </c>
      <c r="M106" s="79">
        <v>350000</v>
      </c>
      <c r="N106" s="79">
        <v>350000</v>
      </c>
      <c r="O106" s="79">
        <v>350000</v>
      </c>
      <c r="P106" s="79">
        <v>350000</v>
      </c>
      <c r="Q106" s="76" t="s">
        <v>354</v>
      </c>
      <c r="R106" s="76" t="s">
        <v>354</v>
      </c>
      <c r="S106" s="76" t="s">
        <v>354</v>
      </c>
      <c r="T106" s="76" t="s">
        <v>354</v>
      </c>
      <c r="U106" s="76" t="s">
        <v>454</v>
      </c>
      <c r="V106" s="76" t="s">
        <v>455</v>
      </c>
      <c r="W106" s="76" t="s">
        <v>131</v>
      </c>
      <c r="X106" s="76" t="s">
        <v>131</v>
      </c>
      <c r="Y106" s="76" t="s">
        <v>131</v>
      </c>
      <c r="Z106" s="78" t="s">
        <v>64</v>
      </c>
      <c r="AA106" s="78" t="s">
        <v>449</v>
      </c>
      <c r="AB106" s="77" t="s">
        <v>53</v>
      </c>
      <c r="AC106" s="77"/>
      <c r="AD106" s="77"/>
      <c r="AE106" s="77"/>
      <c r="AF106" s="77"/>
      <c r="AG106" s="77"/>
      <c r="AH106" s="77"/>
      <c r="AI106" s="77"/>
      <c r="AJ106" s="78" t="s">
        <v>449</v>
      </c>
      <c r="AK106" s="76"/>
      <c r="AL106" s="77">
        <f t="shared" si="15"/>
        <v>3.8043478260869565</v>
      </c>
      <c r="AM106" s="78" t="s">
        <v>423</v>
      </c>
    </row>
    <row r="107" spans="1:39" s="177" customFormat="1" ht="102" x14ac:dyDescent="0.25">
      <c r="A107" s="76">
        <v>1</v>
      </c>
      <c r="B107" s="78" t="s">
        <v>417</v>
      </c>
      <c r="C107" s="78" t="s">
        <v>456</v>
      </c>
      <c r="D107" s="78"/>
      <c r="E107" s="78" t="s">
        <v>457</v>
      </c>
      <c r="F107" s="79">
        <v>1200000</v>
      </c>
      <c r="G107" s="79">
        <v>600000</v>
      </c>
      <c r="H107" s="80">
        <v>600000</v>
      </c>
      <c r="I107" s="76" t="s">
        <v>46</v>
      </c>
      <c r="J107" s="76"/>
      <c r="K107" s="76"/>
      <c r="L107" s="76">
        <v>180</v>
      </c>
      <c r="M107" s="79">
        <v>50000</v>
      </c>
      <c r="N107" s="79">
        <v>400000</v>
      </c>
      <c r="O107" s="79">
        <v>1200000</v>
      </c>
      <c r="P107" s="79">
        <v>1200000</v>
      </c>
      <c r="Q107" s="76" t="s">
        <v>64</v>
      </c>
      <c r="R107" s="76" t="s">
        <v>33</v>
      </c>
      <c r="S107" s="82">
        <v>44075</v>
      </c>
      <c r="T107" s="82">
        <v>44166</v>
      </c>
      <c r="U107" s="76" t="s">
        <v>458</v>
      </c>
      <c r="V107" s="78" t="s">
        <v>459</v>
      </c>
      <c r="W107" s="76" t="s">
        <v>131</v>
      </c>
      <c r="X107" s="76" t="s">
        <v>131</v>
      </c>
      <c r="Y107" s="76" t="s">
        <v>131</v>
      </c>
      <c r="Z107" s="76" t="s">
        <v>64</v>
      </c>
      <c r="AA107" s="78" t="s">
        <v>460</v>
      </c>
      <c r="AB107" s="77" t="s">
        <v>53</v>
      </c>
      <c r="AC107" s="77" t="s">
        <v>53</v>
      </c>
      <c r="AD107" s="77"/>
      <c r="AE107" s="77"/>
      <c r="AF107" s="77"/>
      <c r="AG107" s="77"/>
      <c r="AH107" s="77"/>
      <c r="AI107" s="77"/>
      <c r="AJ107" s="78" t="s">
        <v>460</v>
      </c>
      <c r="AK107" s="76"/>
      <c r="AL107" s="77">
        <f t="shared" si="15"/>
        <v>13.043478260869565</v>
      </c>
      <c r="AM107" s="78" t="s">
        <v>423</v>
      </c>
    </row>
    <row r="108" spans="1:39" s="177" customFormat="1" ht="89.25" x14ac:dyDescent="0.25">
      <c r="A108" s="76">
        <v>1</v>
      </c>
      <c r="B108" s="78" t="s">
        <v>417</v>
      </c>
      <c r="C108" s="78" t="s">
        <v>461</v>
      </c>
      <c r="D108" s="78"/>
      <c r="E108" s="78" t="s">
        <v>462</v>
      </c>
      <c r="F108" s="79">
        <v>6000000</v>
      </c>
      <c r="G108" s="79">
        <v>4000000</v>
      </c>
      <c r="H108" s="80">
        <v>2000000</v>
      </c>
      <c r="I108" s="76" t="s">
        <v>46</v>
      </c>
      <c r="J108" s="76"/>
      <c r="K108" s="76"/>
      <c r="L108" s="76">
        <v>270</v>
      </c>
      <c r="M108" s="79">
        <v>300000</v>
      </c>
      <c r="N108" s="79">
        <v>500000</v>
      </c>
      <c r="O108" s="79">
        <v>2000000</v>
      </c>
      <c r="P108" s="79">
        <v>4000000</v>
      </c>
      <c r="Q108" s="76" t="s">
        <v>64</v>
      </c>
      <c r="R108" s="76" t="s">
        <v>33</v>
      </c>
      <c r="S108" s="82">
        <v>43862</v>
      </c>
      <c r="T108" s="82">
        <v>44256</v>
      </c>
      <c r="U108" s="78" t="s">
        <v>463</v>
      </c>
      <c r="V108" s="76"/>
      <c r="W108" s="76" t="s">
        <v>131</v>
      </c>
      <c r="X108" s="76" t="s">
        <v>131</v>
      </c>
      <c r="Y108" s="76" t="s">
        <v>131</v>
      </c>
      <c r="Z108" s="78" t="s">
        <v>64</v>
      </c>
      <c r="AA108" s="78" t="s">
        <v>464</v>
      </c>
      <c r="AB108" s="77"/>
      <c r="AC108" s="77"/>
      <c r="AD108" s="77"/>
      <c r="AE108" s="77"/>
      <c r="AF108" s="77"/>
      <c r="AG108" s="77"/>
      <c r="AH108" s="77"/>
      <c r="AI108" s="77"/>
      <c r="AJ108" s="78" t="s">
        <v>464</v>
      </c>
      <c r="AK108" s="76"/>
      <c r="AL108" s="77">
        <f t="shared" si="15"/>
        <v>65.217391304347828</v>
      </c>
      <c r="AM108" s="78" t="s">
        <v>423</v>
      </c>
    </row>
    <row r="109" spans="1:39" s="177" customFormat="1" ht="102" x14ac:dyDescent="0.25">
      <c r="A109" s="76">
        <v>1</v>
      </c>
      <c r="B109" s="78" t="s">
        <v>417</v>
      </c>
      <c r="C109" s="78" t="s">
        <v>465</v>
      </c>
      <c r="D109" s="78"/>
      <c r="E109" s="78" t="s">
        <v>466</v>
      </c>
      <c r="F109" s="79">
        <v>1200000</v>
      </c>
      <c r="G109" s="79">
        <v>700000</v>
      </c>
      <c r="H109" s="80">
        <v>500000</v>
      </c>
      <c r="I109" s="76" t="s">
        <v>46</v>
      </c>
      <c r="J109" s="76"/>
      <c r="K109" s="76"/>
      <c r="L109" s="76">
        <v>180</v>
      </c>
      <c r="M109" s="79">
        <v>60000</v>
      </c>
      <c r="N109" s="79">
        <v>300000</v>
      </c>
      <c r="O109" s="79">
        <v>1200000</v>
      </c>
      <c r="P109" s="79">
        <v>1200000</v>
      </c>
      <c r="Q109" s="76" t="s">
        <v>64</v>
      </c>
      <c r="R109" s="76" t="s">
        <v>32</v>
      </c>
      <c r="S109" s="82">
        <v>44075</v>
      </c>
      <c r="T109" s="82">
        <v>44166</v>
      </c>
      <c r="U109" s="78" t="s">
        <v>467</v>
      </c>
      <c r="V109" s="76"/>
      <c r="W109" s="76" t="s">
        <v>131</v>
      </c>
      <c r="X109" s="76" t="s">
        <v>131</v>
      </c>
      <c r="Y109" s="76" t="s">
        <v>131</v>
      </c>
      <c r="Z109" s="76" t="s">
        <v>64</v>
      </c>
      <c r="AA109" s="78" t="s">
        <v>460</v>
      </c>
      <c r="AB109" s="77"/>
      <c r="AC109" s="77"/>
      <c r="AD109" s="77"/>
      <c r="AE109" s="77"/>
      <c r="AF109" s="77"/>
      <c r="AG109" s="77"/>
      <c r="AH109" s="77"/>
      <c r="AI109" s="77"/>
      <c r="AJ109" s="78" t="s">
        <v>460</v>
      </c>
      <c r="AK109" s="76"/>
      <c r="AL109" s="77">
        <f t="shared" si="15"/>
        <v>13.043478260869565</v>
      </c>
      <c r="AM109" s="78" t="s">
        <v>423</v>
      </c>
    </row>
    <row r="110" spans="1:39" s="177" customFormat="1" ht="51" x14ac:dyDescent="0.25">
      <c r="A110" s="76">
        <v>1</v>
      </c>
      <c r="B110" s="78" t="s">
        <v>417</v>
      </c>
      <c r="C110" s="78" t="s">
        <v>468</v>
      </c>
      <c r="D110" s="78"/>
      <c r="E110" s="78" t="s">
        <v>469</v>
      </c>
      <c r="F110" s="79">
        <v>600000</v>
      </c>
      <c r="G110" s="79">
        <v>400000</v>
      </c>
      <c r="H110" s="80">
        <v>200000</v>
      </c>
      <c r="I110" s="76" t="s">
        <v>46</v>
      </c>
      <c r="J110" s="76"/>
      <c r="K110" s="76"/>
      <c r="L110" s="76">
        <v>0</v>
      </c>
      <c r="M110" s="79">
        <v>200000</v>
      </c>
      <c r="N110" s="79">
        <v>600000</v>
      </c>
      <c r="O110" s="79">
        <v>600000</v>
      </c>
      <c r="P110" s="79">
        <v>600000</v>
      </c>
      <c r="Q110" s="76" t="s">
        <v>131</v>
      </c>
      <c r="R110" s="76"/>
      <c r="S110" s="82">
        <v>43952</v>
      </c>
      <c r="T110" s="82">
        <v>44044</v>
      </c>
      <c r="U110" s="76" t="s">
        <v>470</v>
      </c>
      <c r="V110" s="76"/>
      <c r="W110" s="76" t="s">
        <v>131</v>
      </c>
      <c r="X110" s="76" t="s">
        <v>131</v>
      </c>
      <c r="Y110" s="76" t="s">
        <v>131</v>
      </c>
      <c r="Z110" s="78" t="s">
        <v>64</v>
      </c>
      <c r="AA110" s="78" t="s">
        <v>471</v>
      </c>
      <c r="AB110" s="77" t="s">
        <v>53</v>
      </c>
      <c r="AC110" s="77" t="s">
        <v>53</v>
      </c>
      <c r="AD110" s="77"/>
      <c r="AE110" s="77"/>
      <c r="AF110" s="77"/>
      <c r="AG110" s="77"/>
      <c r="AH110" s="77"/>
      <c r="AI110" s="77"/>
      <c r="AJ110" s="78" t="s">
        <v>471</v>
      </c>
      <c r="AK110" s="76"/>
      <c r="AL110" s="77">
        <f t="shared" si="15"/>
        <v>6.5217391304347823</v>
      </c>
      <c r="AM110" s="78" t="s">
        <v>423</v>
      </c>
    </row>
    <row r="111" spans="1:39" s="177" customFormat="1" ht="255.75" customHeight="1" x14ac:dyDescent="0.25">
      <c r="A111" s="76">
        <v>2</v>
      </c>
      <c r="B111" s="78" t="s">
        <v>417</v>
      </c>
      <c r="C111" s="78" t="s">
        <v>472</v>
      </c>
      <c r="D111" s="78"/>
      <c r="E111" s="78" t="s">
        <v>473</v>
      </c>
      <c r="F111" s="79">
        <v>600000</v>
      </c>
      <c r="G111" s="79">
        <v>400000</v>
      </c>
      <c r="H111" s="80">
        <v>200000</v>
      </c>
      <c r="I111" s="76" t="s">
        <v>46</v>
      </c>
      <c r="J111" s="76"/>
      <c r="K111" s="76"/>
      <c r="L111" s="76">
        <v>180</v>
      </c>
      <c r="M111" s="79">
        <v>100000</v>
      </c>
      <c r="N111" s="79">
        <v>300000</v>
      </c>
      <c r="O111" s="79">
        <v>600000</v>
      </c>
      <c r="P111" s="79">
        <v>600000</v>
      </c>
      <c r="Q111" s="76" t="s">
        <v>64</v>
      </c>
      <c r="R111" s="76" t="s">
        <v>32</v>
      </c>
      <c r="S111" s="82">
        <v>44075</v>
      </c>
      <c r="T111" s="82">
        <v>44166</v>
      </c>
      <c r="U111" s="78" t="s">
        <v>467</v>
      </c>
      <c r="V111" s="76"/>
      <c r="W111" s="76" t="s">
        <v>131</v>
      </c>
      <c r="X111" s="76" t="s">
        <v>131</v>
      </c>
      <c r="Y111" s="76" t="s">
        <v>131</v>
      </c>
      <c r="Z111" s="76" t="s">
        <v>64</v>
      </c>
      <c r="AA111" s="78" t="s">
        <v>471</v>
      </c>
      <c r="AB111" s="77" t="s">
        <v>53</v>
      </c>
      <c r="AC111" s="77" t="s">
        <v>53</v>
      </c>
      <c r="AD111" s="77"/>
      <c r="AE111" s="77"/>
      <c r="AF111" s="77"/>
      <c r="AG111" s="77"/>
      <c r="AH111" s="77"/>
      <c r="AI111" s="77"/>
      <c r="AJ111" s="78" t="s">
        <v>471</v>
      </c>
      <c r="AK111" s="76"/>
      <c r="AL111" s="77">
        <f t="shared" si="15"/>
        <v>6.5217391304347823</v>
      </c>
      <c r="AM111" s="78" t="s">
        <v>423</v>
      </c>
    </row>
    <row r="112" spans="1:39" s="177" customFormat="1" ht="172.5" customHeight="1" x14ac:dyDescent="0.25">
      <c r="A112" s="76">
        <v>1</v>
      </c>
      <c r="B112" s="78" t="s">
        <v>417</v>
      </c>
      <c r="C112" s="78" t="s">
        <v>474</v>
      </c>
      <c r="D112" s="78"/>
      <c r="E112" s="78" t="s">
        <v>475</v>
      </c>
      <c r="F112" s="79">
        <v>500000</v>
      </c>
      <c r="G112" s="79">
        <v>400000</v>
      </c>
      <c r="H112" s="80">
        <v>100000</v>
      </c>
      <c r="I112" s="76" t="s">
        <v>46</v>
      </c>
      <c r="J112" s="76"/>
      <c r="K112" s="76"/>
      <c r="L112" s="76">
        <v>180</v>
      </c>
      <c r="M112" s="79">
        <v>100000</v>
      </c>
      <c r="N112" s="79">
        <v>300000</v>
      </c>
      <c r="O112" s="79">
        <v>600000</v>
      </c>
      <c r="P112" s="79">
        <v>600000</v>
      </c>
      <c r="Q112" s="76" t="s">
        <v>354</v>
      </c>
      <c r="R112" s="76" t="s">
        <v>354</v>
      </c>
      <c r="S112" s="82">
        <v>44075</v>
      </c>
      <c r="T112" s="82">
        <v>44166</v>
      </c>
      <c r="U112" s="78" t="s">
        <v>467</v>
      </c>
      <c r="V112" s="76"/>
      <c r="W112" s="76" t="s">
        <v>131</v>
      </c>
      <c r="X112" s="76" t="s">
        <v>131</v>
      </c>
      <c r="Y112" s="76" t="s">
        <v>64</v>
      </c>
      <c r="Z112" s="78" t="s">
        <v>64</v>
      </c>
      <c r="AA112" s="78" t="s">
        <v>471</v>
      </c>
      <c r="AB112" s="77"/>
      <c r="AC112" s="77"/>
      <c r="AD112" s="77"/>
      <c r="AE112" s="77"/>
      <c r="AF112" s="77" t="s">
        <v>53</v>
      </c>
      <c r="AG112" s="77"/>
      <c r="AH112" s="77"/>
      <c r="AI112" s="77"/>
      <c r="AJ112" s="78" t="s">
        <v>471</v>
      </c>
      <c r="AK112" s="76"/>
      <c r="AL112" s="77">
        <f t="shared" si="15"/>
        <v>5.4347826086956523</v>
      </c>
      <c r="AM112" s="78" t="s">
        <v>423</v>
      </c>
    </row>
    <row r="113" spans="1:42" s="177" customFormat="1" ht="89.25" x14ac:dyDescent="0.25">
      <c r="A113" s="76">
        <v>2</v>
      </c>
      <c r="B113" s="78" t="s">
        <v>417</v>
      </c>
      <c r="C113" s="78" t="s">
        <v>476</v>
      </c>
      <c r="D113" s="78"/>
      <c r="E113" s="78" t="s">
        <v>477</v>
      </c>
      <c r="F113" s="79">
        <v>400000</v>
      </c>
      <c r="G113" s="79">
        <v>350000</v>
      </c>
      <c r="H113" s="80">
        <v>50000</v>
      </c>
      <c r="I113" s="76" t="s">
        <v>46</v>
      </c>
      <c r="J113" s="76"/>
      <c r="K113" s="76"/>
      <c r="L113" s="76">
        <v>90</v>
      </c>
      <c r="M113" s="79">
        <v>70000</v>
      </c>
      <c r="N113" s="79">
        <v>400000</v>
      </c>
      <c r="O113" s="79">
        <v>400000</v>
      </c>
      <c r="P113" s="79">
        <v>400000</v>
      </c>
      <c r="Q113" s="76" t="s">
        <v>354</v>
      </c>
      <c r="R113" s="76" t="s">
        <v>354</v>
      </c>
      <c r="S113" s="82">
        <v>44075</v>
      </c>
      <c r="T113" s="82">
        <v>44166</v>
      </c>
      <c r="U113" s="76" t="s">
        <v>470</v>
      </c>
      <c r="V113" s="76" t="s">
        <v>478</v>
      </c>
      <c r="W113" s="76" t="s">
        <v>131</v>
      </c>
      <c r="X113" s="76" t="s">
        <v>131</v>
      </c>
      <c r="Y113" s="76" t="s">
        <v>131</v>
      </c>
      <c r="Z113" s="76" t="s">
        <v>64</v>
      </c>
      <c r="AA113" s="78" t="s">
        <v>422</v>
      </c>
      <c r="AB113" s="77" t="s">
        <v>53</v>
      </c>
      <c r="AC113" s="77" t="s">
        <v>53</v>
      </c>
      <c r="AD113" s="77"/>
      <c r="AE113" s="77"/>
      <c r="AF113" s="77"/>
      <c r="AG113" s="77"/>
      <c r="AH113" s="77"/>
      <c r="AI113" s="77"/>
      <c r="AJ113" s="78" t="s">
        <v>422</v>
      </c>
      <c r="AK113" s="76"/>
      <c r="AL113" s="77">
        <f t="shared" si="15"/>
        <v>4.3478260869565215</v>
      </c>
      <c r="AM113" s="78" t="s">
        <v>423</v>
      </c>
    </row>
    <row r="114" spans="1:42" ht="89.25" x14ac:dyDescent="0.25">
      <c r="A114" s="76">
        <v>1</v>
      </c>
      <c r="B114" s="78" t="s">
        <v>417</v>
      </c>
      <c r="C114" s="78" t="s">
        <v>626</v>
      </c>
      <c r="D114" s="78"/>
      <c r="E114" s="78" t="s">
        <v>627</v>
      </c>
      <c r="F114" s="79">
        <v>2000000</v>
      </c>
      <c r="G114" s="79">
        <v>1200000</v>
      </c>
      <c r="H114" s="80">
        <v>800000</v>
      </c>
      <c r="I114" s="76" t="s">
        <v>46</v>
      </c>
      <c r="J114" s="76"/>
      <c r="K114" s="76"/>
      <c r="L114" s="76">
        <v>90</v>
      </c>
      <c r="M114" s="79">
        <v>200000</v>
      </c>
      <c r="N114" s="79">
        <v>700000</v>
      </c>
      <c r="O114" s="79">
        <v>2000000</v>
      </c>
      <c r="P114" s="79">
        <v>2000000</v>
      </c>
      <c r="Q114" s="76" t="s">
        <v>64</v>
      </c>
      <c r="R114" s="76" t="s">
        <v>354</v>
      </c>
      <c r="S114" s="82">
        <v>44075</v>
      </c>
      <c r="T114" s="82">
        <v>44348</v>
      </c>
      <c r="U114" s="76" t="s">
        <v>628</v>
      </c>
      <c r="V114" s="76" t="s">
        <v>478</v>
      </c>
      <c r="W114" s="76" t="s">
        <v>131</v>
      </c>
      <c r="X114" s="76" t="s">
        <v>131</v>
      </c>
      <c r="Y114" s="76" t="s">
        <v>131</v>
      </c>
      <c r="Z114" s="76" t="s">
        <v>64</v>
      </c>
      <c r="AA114" s="78" t="s">
        <v>629</v>
      </c>
      <c r="AB114" s="77" t="s">
        <v>53</v>
      </c>
      <c r="AC114" s="77" t="s">
        <v>53</v>
      </c>
      <c r="AD114" s="77"/>
      <c r="AE114" s="77"/>
      <c r="AF114" s="77"/>
      <c r="AG114" s="77"/>
      <c r="AH114" s="77"/>
      <c r="AI114" s="77"/>
      <c r="AJ114" s="78" t="s">
        <v>630</v>
      </c>
      <c r="AK114" s="76"/>
      <c r="AL114" s="77">
        <f t="shared" si="15"/>
        <v>21.739130434782609</v>
      </c>
      <c r="AM114" s="78" t="s">
        <v>423</v>
      </c>
    </row>
    <row r="115" spans="1:42" ht="122.25" customHeight="1" x14ac:dyDescent="0.25">
      <c r="A115" s="178">
        <v>1</v>
      </c>
      <c r="B115" s="178" t="s">
        <v>479</v>
      </c>
      <c r="C115" s="178" t="s">
        <v>480</v>
      </c>
      <c r="D115" s="178"/>
      <c r="E115" s="178" t="s">
        <v>481</v>
      </c>
      <c r="F115" s="179">
        <v>2130000</v>
      </c>
      <c r="G115" s="179">
        <v>1130000</v>
      </c>
      <c r="H115" s="179">
        <v>259000</v>
      </c>
      <c r="I115" s="178" t="s">
        <v>482</v>
      </c>
      <c r="J115" s="178"/>
      <c r="K115" s="178"/>
      <c r="L115" s="178">
        <v>90</v>
      </c>
      <c r="M115" s="180"/>
      <c r="N115" s="180"/>
      <c r="O115" s="180"/>
      <c r="P115" s="180" t="s">
        <v>61</v>
      </c>
      <c r="Q115" s="178" t="s">
        <v>64</v>
      </c>
      <c r="R115" s="178" t="s">
        <v>483</v>
      </c>
      <c r="S115" s="181">
        <v>44378</v>
      </c>
      <c r="T115" s="181">
        <v>44484</v>
      </c>
      <c r="U115" s="121" t="s">
        <v>484</v>
      </c>
      <c r="V115" s="182" t="s">
        <v>485</v>
      </c>
      <c r="W115" s="178" t="s">
        <v>131</v>
      </c>
      <c r="X115" s="178" t="s">
        <v>131</v>
      </c>
      <c r="Y115" s="178" t="s">
        <v>131</v>
      </c>
      <c r="Z115" s="178" t="s">
        <v>64</v>
      </c>
      <c r="AA115" s="178" t="s">
        <v>486</v>
      </c>
      <c r="AB115" s="183" t="s">
        <v>53</v>
      </c>
      <c r="AC115" s="183" t="s">
        <v>53</v>
      </c>
      <c r="AD115" s="183"/>
      <c r="AE115" s="183"/>
      <c r="AF115" s="183"/>
      <c r="AG115" s="183"/>
      <c r="AH115" s="183"/>
      <c r="AI115" s="183"/>
      <c r="AJ115" s="178" t="s">
        <v>486</v>
      </c>
      <c r="AK115" s="178"/>
      <c r="AL115" s="183">
        <f>F115/92000</f>
        <v>23.152173913043477</v>
      </c>
      <c r="AM115" s="178" t="s">
        <v>487</v>
      </c>
    </row>
    <row r="116" spans="1:42" ht="239.25" customHeight="1" x14ac:dyDescent="0.25">
      <c r="A116" s="93">
        <v>2</v>
      </c>
      <c r="B116" s="93" t="s">
        <v>488</v>
      </c>
      <c r="C116" s="93" t="s">
        <v>489</v>
      </c>
      <c r="D116" s="93"/>
      <c r="E116" s="93" t="s">
        <v>490</v>
      </c>
      <c r="F116" s="125">
        <v>750000</v>
      </c>
      <c r="G116" s="125">
        <v>700000</v>
      </c>
      <c r="H116" s="125">
        <v>50000</v>
      </c>
      <c r="I116" s="93" t="s">
        <v>491</v>
      </c>
      <c r="J116" s="93"/>
      <c r="K116" s="93"/>
      <c r="L116" s="93">
        <v>365</v>
      </c>
      <c r="M116" s="184"/>
      <c r="N116" s="184"/>
      <c r="O116" s="184"/>
      <c r="P116" s="184" t="s">
        <v>61</v>
      </c>
      <c r="Q116" s="93" t="s">
        <v>64</v>
      </c>
      <c r="R116" s="93" t="s">
        <v>492</v>
      </c>
      <c r="S116" s="95">
        <v>44317</v>
      </c>
      <c r="T116" s="95">
        <v>44469</v>
      </c>
      <c r="U116" s="124" t="s">
        <v>493</v>
      </c>
      <c r="V116" s="124" t="s">
        <v>494</v>
      </c>
      <c r="W116" s="93" t="s">
        <v>131</v>
      </c>
      <c r="X116" s="93" t="s">
        <v>131</v>
      </c>
      <c r="Y116" s="93" t="s">
        <v>131</v>
      </c>
      <c r="Z116" s="93" t="s">
        <v>131</v>
      </c>
      <c r="AA116" s="93" t="s">
        <v>495</v>
      </c>
      <c r="AB116" s="96"/>
      <c r="AC116" s="96" t="s">
        <v>61</v>
      </c>
      <c r="AD116" s="96"/>
      <c r="AE116" s="96" t="s">
        <v>61</v>
      </c>
      <c r="AF116" s="96"/>
      <c r="AG116" s="96" t="s">
        <v>61</v>
      </c>
      <c r="AH116" s="96" t="s">
        <v>61</v>
      </c>
      <c r="AI116" s="96" t="s">
        <v>61</v>
      </c>
      <c r="AJ116" s="93" t="s">
        <v>496</v>
      </c>
      <c r="AK116" s="93"/>
      <c r="AL116" s="96">
        <f>F116/92000</f>
        <v>8.1521739130434785</v>
      </c>
      <c r="AM116" s="185" t="s">
        <v>487</v>
      </c>
    </row>
    <row r="117" spans="1:42" ht="102" x14ac:dyDescent="0.25">
      <c r="A117" s="93">
        <v>3</v>
      </c>
      <c r="B117" s="93" t="s">
        <v>488</v>
      </c>
      <c r="C117" s="93" t="s">
        <v>497</v>
      </c>
      <c r="D117" s="93"/>
      <c r="E117" s="97" t="s">
        <v>498</v>
      </c>
      <c r="F117" s="123">
        <v>1200000</v>
      </c>
      <c r="G117" s="123">
        <v>175000</v>
      </c>
      <c r="H117" s="125">
        <v>50000</v>
      </c>
      <c r="I117" s="93" t="s">
        <v>499</v>
      </c>
      <c r="J117" s="93"/>
      <c r="K117" s="93"/>
      <c r="L117" s="93">
        <v>180</v>
      </c>
      <c r="M117" s="184"/>
      <c r="N117" s="184"/>
      <c r="O117" s="184"/>
      <c r="P117" s="184">
        <v>50000</v>
      </c>
      <c r="Q117" s="93" t="s">
        <v>131</v>
      </c>
      <c r="R117" s="93" t="s">
        <v>500</v>
      </c>
      <c r="S117" s="95">
        <v>44331</v>
      </c>
      <c r="T117" s="95">
        <v>44392</v>
      </c>
      <c r="U117" s="124" t="s">
        <v>484</v>
      </c>
      <c r="V117" s="124" t="s">
        <v>501</v>
      </c>
      <c r="W117" s="93" t="s">
        <v>131</v>
      </c>
      <c r="X117" s="93" t="s">
        <v>131</v>
      </c>
      <c r="Y117" s="93" t="s">
        <v>131</v>
      </c>
      <c r="Z117" s="93" t="s">
        <v>64</v>
      </c>
      <c r="AA117" s="93" t="s">
        <v>502</v>
      </c>
      <c r="AB117" s="96"/>
      <c r="AC117" s="96" t="s">
        <v>53</v>
      </c>
      <c r="AD117" s="96"/>
      <c r="AE117" s="96"/>
      <c r="AF117" s="96"/>
      <c r="AG117" s="96" t="s">
        <v>53</v>
      </c>
      <c r="AH117" s="96" t="s">
        <v>53</v>
      </c>
      <c r="AI117" s="96"/>
      <c r="AJ117" s="93" t="s">
        <v>502</v>
      </c>
      <c r="AK117" s="93"/>
      <c r="AL117" s="96">
        <f t="shared" ref="AL117:AL137" si="16">F117/92000</f>
        <v>13.043478260869565</v>
      </c>
      <c r="AM117" s="185" t="s">
        <v>487</v>
      </c>
    </row>
    <row r="118" spans="1:42" ht="102.75" thickBot="1" x14ac:dyDescent="0.3">
      <c r="A118" s="134">
        <v>4</v>
      </c>
      <c r="B118" s="134" t="s">
        <v>488</v>
      </c>
      <c r="C118" s="134" t="s">
        <v>503</v>
      </c>
      <c r="D118" s="93"/>
      <c r="E118" s="255" t="s">
        <v>504</v>
      </c>
      <c r="F118" s="156">
        <v>1600000</v>
      </c>
      <c r="G118" s="156">
        <v>700000</v>
      </c>
      <c r="H118" s="186">
        <v>50000</v>
      </c>
      <c r="I118" s="134" t="s">
        <v>499</v>
      </c>
      <c r="J118" s="134"/>
      <c r="K118" s="134"/>
      <c r="L118" s="134">
        <v>180</v>
      </c>
      <c r="M118" s="187"/>
      <c r="N118" s="187"/>
      <c r="O118" s="187"/>
      <c r="P118" s="187">
        <v>100000</v>
      </c>
      <c r="Q118" s="134" t="s">
        <v>131</v>
      </c>
      <c r="R118" s="134" t="s">
        <v>500</v>
      </c>
      <c r="S118" s="157">
        <v>44331</v>
      </c>
      <c r="T118" s="157">
        <v>44392</v>
      </c>
      <c r="U118" s="139" t="s">
        <v>484</v>
      </c>
      <c r="V118" s="139" t="s">
        <v>501</v>
      </c>
      <c r="W118" s="134" t="s">
        <v>131</v>
      </c>
      <c r="X118" s="134" t="s">
        <v>505</v>
      </c>
      <c r="Y118" s="134" t="s">
        <v>505</v>
      </c>
      <c r="Z118" s="134" t="s">
        <v>131</v>
      </c>
      <c r="AA118" s="134" t="s">
        <v>655</v>
      </c>
      <c r="AB118" s="140"/>
      <c r="AC118" s="140" t="s">
        <v>53</v>
      </c>
      <c r="AD118" s="140"/>
      <c r="AE118" s="140"/>
      <c r="AF118" s="140"/>
      <c r="AG118" s="140" t="s">
        <v>53</v>
      </c>
      <c r="AH118" s="140" t="s">
        <v>53</v>
      </c>
      <c r="AI118" s="140"/>
      <c r="AJ118" s="134" t="s">
        <v>655</v>
      </c>
      <c r="AK118" s="134"/>
      <c r="AL118" s="140">
        <f t="shared" si="16"/>
        <v>17.391304347826086</v>
      </c>
      <c r="AM118" s="188" t="s">
        <v>487</v>
      </c>
    </row>
    <row r="119" spans="1:42" ht="63.75" x14ac:dyDescent="0.25">
      <c r="A119" s="189">
        <v>1</v>
      </c>
      <c r="B119" s="190" t="s">
        <v>506</v>
      </c>
      <c r="C119" s="190" t="s">
        <v>507</v>
      </c>
      <c r="D119" s="257"/>
      <c r="E119" s="190" t="s">
        <v>508</v>
      </c>
      <c r="F119" s="191">
        <v>2713572</v>
      </c>
      <c r="G119" s="191">
        <v>1356786</v>
      </c>
      <c r="H119" s="191">
        <v>1356786</v>
      </c>
      <c r="I119" s="190" t="s">
        <v>509</v>
      </c>
      <c r="J119" s="189"/>
      <c r="K119" s="189"/>
      <c r="L119" s="189">
        <v>90</v>
      </c>
      <c r="M119" s="192"/>
      <c r="N119" s="192"/>
      <c r="O119" s="193">
        <v>2713572</v>
      </c>
      <c r="P119" s="192"/>
      <c r="Q119" s="189" t="s">
        <v>64</v>
      </c>
      <c r="R119" s="189" t="s">
        <v>510</v>
      </c>
      <c r="S119" s="194">
        <v>44007</v>
      </c>
      <c r="T119" s="194">
        <v>44136</v>
      </c>
      <c r="U119" s="195" t="s">
        <v>511</v>
      </c>
      <c r="V119" s="195" t="s">
        <v>512</v>
      </c>
      <c r="W119" s="189" t="s">
        <v>131</v>
      </c>
      <c r="X119" s="189" t="s">
        <v>131</v>
      </c>
      <c r="Y119" s="189" t="s">
        <v>64</v>
      </c>
      <c r="Z119" s="189" t="s">
        <v>64</v>
      </c>
      <c r="AA119" s="190" t="s">
        <v>52</v>
      </c>
      <c r="AB119" s="196" t="s">
        <v>53</v>
      </c>
      <c r="AC119" s="196" t="s">
        <v>53</v>
      </c>
      <c r="AD119" s="196"/>
      <c r="AE119" s="196"/>
      <c r="AF119" s="196"/>
      <c r="AG119" s="196"/>
      <c r="AH119" s="196"/>
      <c r="AI119" s="196"/>
      <c r="AJ119" s="190" t="s">
        <v>513</v>
      </c>
      <c r="AK119" s="189"/>
      <c r="AL119" s="196">
        <f t="shared" si="16"/>
        <v>29.495347826086956</v>
      </c>
      <c r="AM119" s="190" t="s">
        <v>514</v>
      </c>
      <c r="AO119" s="107"/>
      <c r="AP119" s="107"/>
    </row>
    <row r="120" spans="1:42" ht="63.75" x14ac:dyDescent="0.2">
      <c r="A120" s="189">
        <v>2</v>
      </c>
      <c r="B120" s="190" t="s">
        <v>506</v>
      </c>
      <c r="C120" s="190" t="s">
        <v>515</v>
      </c>
      <c r="D120" s="190"/>
      <c r="E120" s="190" t="s">
        <v>508</v>
      </c>
      <c r="F120" s="191">
        <v>2235679</v>
      </c>
      <c r="G120" s="191">
        <v>1117839</v>
      </c>
      <c r="H120" s="191">
        <v>1117839</v>
      </c>
      <c r="I120" s="190" t="s">
        <v>509</v>
      </c>
      <c r="J120" s="189"/>
      <c r="K120" s="189"/>
      <c r="L120" s="189">
        <v>270</v>
      </c>
      <c r="M120" s="192"/>
      <c r="N120" s="192"/>
      <c r="O120" s="192"/>
      <c r="P120" s="193">
        <v>2235679</v>
      </c>
      <c r="Q120" s="189" t="s">
        <v>64</v>
      </c>
      <c r="R120" s="189" t="s">
        <v>510</v>
      </c>
      <c r="S120" s="194">
        <v>44197</v>
      </c>
      <c r="T120" s="194">
        <v>44347</v>
      </c>
      <c r="U120" s="195" t="s">
        <v>511</v>
      </c>
      <c r="V120" s="195" t="s">
        <v>512</v>
      </c>
      <c r="W120" s="189" t="s">
        <v>131</v>
      </c>
      <c r="X120" s="189" t="s">
        <v>131</v>
      </c>
      <c r="Y120" s="189" t="s">
        <v>64</v>
      </c>
      <c r="Z120" s="189" t="s">
        <v>64</v>
      </c>
      <c r="AA120" s="190" t="s">
        <v>52</v>
      </c>
      <c r="AB120" s="196" t="s">
        <v>53</v>
      </c>
      <c r="AC120" s="196" t="s">
        <v>53</v>
      </c>
      <c r="AD120" s="196"/>
      <c r="AE120" s="196"/>
      <c r="AF120" s="196"/>
      <c r="AG120" s="196"/>
      <c r="AH120" s="196"/>
      <c r="AI120" s="196"/>
      <c r="AJ120" s="190" t="s">
        <v>513</v>
      </c>
      <c r="AK120" s="189"/>
      <c r="AL120" s="196">
        <f t="shared" si="16"/>
        <v>24.300858695652174</v>
      </c>
      <c r="AM120" s="190" t="s">
        <v>514</v>
      </c>
      <c r="AO120" s="37"/>
      <c r="AP120" s="107"/>
    </row>
    <row r="121" spans="1:42" ht="63.75" x14ac:dyDescent="0.2">
      <c r="A121" s="189">
        <v>2</v>
      </c>
      <c r="B121" s="190" t="s">
        <v>506</v>
      </c>
      <c r="C121" s="190" t="s">
        <v>516</v>
      </c>
      <c r="D121" s="190"/>
      <c r="E121" s="190" t="s">
        <v>508</v>
      </c>
      <c r="F121" s="191">
        <v>2092691</v>
      </c>
      <c r="G121" s="191">
        <v>1046345</v>
      </c>
      <c r="H121" s="191">
        <v>1046345</v>
      </c>
      <c r="I121" s="190" t="s">
        <v>509</v>
      </c>
      <c r="J121" s="189"/>
      <c r="K121" s="189"/>
      <c r="L121" s="189">
        <v>365</v>
      </c>
      <c r="M121" s="192"/>
      <c r="N121" s="192"/>
      <c r="O121" s="192"/>
      <c r="P121" s="193">
        <v>2092691</v>
      </c>
      <c r="Q121" s="189" t="s">
        <v>64</v>
      </c>
      <c r="R121" s="189" t="s">
        <v>510</v>
      </c>
      <c r="S121" s="194">
        <v>44197</v>
      </c>
      <c r="T121" s="194">
        <v>44347</v>
      </c>
      <c r="U121" s="195" t="s">
        <v>511</v>
      </c>
      <c r="V121" s="195" t="s">
        <v>512</v>
      </c>
      <c r="W121" s="189" t="s">
        <v>131</v>
      </c>
      <c r="X121" s="189" t="s">
        <v>131</v>
      </c>
      <c r="Y121" s="189" t="s">
        <v>64</v>
      </c>
      <c r="Z121" s="189" t="s">
        <v>64</v>
      </c>
      <c r="AA121" s="190" t="s">
        <v>52</v>
      </c>
      <c r="AB121" s="196" t="s">
        <v>53</v>
      </c>
      <c r="AC121" s="196" t="s">
        <v>53</v>
      </c>
      <c r="AD121" s="196"/>
      <c r="AE121" s="196"/>
      <c r="AF121" s="196"/>
      <c r="AG121" s="196"/>
      <c r="AH121" s="196"/>
      <c r="AI121" s="196"/>
      <c r="AJ121" s="190" t="s">
        <v>513</v>
      </c>
      <c r="AK121" s="189"/>
      <c r="AL121" s="196">
        <f t="shared" si="16"/>
        <v>22.746641304347825</v>
      </c>
      <c r="AM121" s="190" t="s">
        <v>514</v>
      </c>
      <c r="AO121" s="38"/>
      <c r="AP121" s="107"/>
    </row>
    <row r="122" spans="1:42" ht="76.5" x14ac:dyDescent="0.2">
      <c r="A122" s="189">
        <v>1</v>
      </c>
      <c r="B122" s="190" t="s">
        <v>506</v>
      </c>
      <c r="C122" s="190" t="s">
        <v>656</v>
      </c>
      <c r="D122" s="190"/>
      <c r="E122" s="190" t="s">
        <v>517</v>
      </c>
      <c r="F122" s="191">
        <v>1000000</v>
      </c>
      <c r="G122" s="191">
        <v>500000</v>
      </c>
      <c r="H122" s="191">
        <v>500000</v>
      </c>
      <c r="I122" s="190" t="s">
        <v>509</v>
      </c>
      <c r="J122" s="189"/>
      <c r="K122" s="189"/>
      <c r="L122" s="189">
        <v>90</v>
      </c>
      <c r="M122" s="192"/>
      <c r="N122" s="192">
        <v>1000000</v>
      </c>
      <c r="O122" s="192"/>
      <c r="P122" s="192"/>
      <c r="Q122" s="189" t="s">
        <v>64</v>
      </c>
      <c r="R122" s="189" t="s">
        <v>510</v>
      </c>
      <c r="S122" s="194">
        <v>44013</v>
      </c>
      <c r="T122" s="194">
        <v>44104</v>
      </c>
      <c r="U122" s="195" t="s">
        <v>657</v>
      </c>
      <c r="V122" s="195" t="s">
        <v>512</v>
      </c>
      <c r="W122" s="189" t="s">
        <v>131</v>
      </c>
      <c r="X122" s="189"/>
      <c r="Y122" s="189"/>
      <c r="Z122" s="189" t="s">
        <v>64</v>
      </c>
      <c r="AA122" s="190" t="s">
        <v>52</v>
      </c>
      <c r="AB122" s="196" t="s">
        <v>53</v>
      </c>
      <c r="AC122" s="196" t="s">
        <v>53</v>
      </c>
      <c r="AD122" s="196"/>
      <c r="AE122" s="196"/>
      <c r="AF122" s="196"/>
      <c r="AG122" s="196"/>
      <c r="AH122" s="196"/>
      <c r="AI122" s="196" t="s">
        <v>53</v>
      </c>
      <c r="AJ122" s="190" t="s">
        <v>513</v>
      </c>
      <c r="AK122" s="189"/>
      <c r="AL122" s="196">
        <f t="shared" si="16"/>
        <v>10.869565217391305</v>
      </c>
      <c r="AM122" s="190" t="s">
        <v>518</v>
      </c>
      <c r="AO122" s="38"/>
      <c r="AP122" s="107"/>
    </row>
    <row r="123" spans="1:42" ht="51" x14ac:dyDescent="0.2">
      <c r="A123" s="189">
        <v>2</v>
      </c>
      <c r="B123" s="190" t="s">
        <v>506</v>
      </c>
      <c r="C123" s="190" t="s">
        <v>519</v>
      </c>
      <c r="D123" s="190"/>
      <c r="E123" s="190" t="s">
        <v>520</v>
      </c>
      <c r="F123" s="191">
        <v>350000</v>
      </c>
      <c r="G123" s="191">
        <f>350000/2</f>
        <v>175000</v>
      </c>
      <c r="H123" s="191">
        <f>350000/2</f>
        <v>175000</v>
      </c>
      <c r="I123" s="190" t="s">
        <v>509</v>
      </c>
      <c r="J123" s="189"/>
      <c r="K123" s="189"/>
      <c r="L123" s="189">
        <v>180</v>
      </c>
      <c r="M123" s="192"/>
      <c r="N123" s="192"/>
      <c r="O123" s="192"/>
      <c r="P123" s="192"/>
      <c r="Q123" s="189" t="s">
        <v>131</v>
      </c>
      <c r="R123" s="189" t="s">
        <v>521</v>
      </c>
      <c r="S123" s="194">
        <v>44013</v>
      </c>
      <c r="T123" s="194">
        <v>44104</v>
      </c>
      <c r="U123" s="195" t="s">
        <v>522</v>
      </c>
      <c r="V123" s="195" t="s">
        <v>512</v>
      </c>
      <c r="W123" s="189" t="s">
        <v>131</v>
      </c>
      <c r="X123" s="189"/>
      <c r="Y123" s="189" t="s">
        <v>131</v>
      </c>
      <c r="Z123" s="189" t="s">
        <v>64</v>
      </c>
      <c r="AA123" s="190" t="s">
        <v>523</v>
      </c>
      <c r="AB123" s="196" t="s">
        <v>53</v>
      </c>
      <c r="AC123" s="196" t="s">
        <v>53</v>
      </c>
      <c r="AD123" s="196"/>
      <c r="AE123" s="196"/>
      <c r="AF123" s="196"/>
      <c r="AG123" s="196"/>
      <c r="AH123" s="196"/>
      <c r="AI123" s="196"/>
      <c r="AJ123" s="190" t="s">
        <v>513</v>
      </c>
      <c r="AK123" s="189"/>
      <c r="AL123" s="196">
        <f t="shared" si="16"/>
        <v>3.8043478260869565</v>
      </c>
      <c r="AM123" s="190" t="s">
        <v>524</v>
      </c>
      <c r="AO123" s="38"/>
      <c r="AP123" s="107"/>
    </row>
    <row r="124" spans="1:42" ht="51" x14ac:dyDescent="0.2">
      <c r="A124" s="189">
        <v>2</v>
      </c>
      <c r="B124" s="190" t="s">
        <v>506</v>
      </c>
      <c r="C124" s="190" t="s">
        <v>525</v>
      </c>
      <c r="D124" s="190"/>
      <c r="E124" s="197" t="s">
        <v>526</v>
      </c>
      <c r="F124" s="191">
        <v>500000</v>
      </c>
      <c r="G124" s="191">
        <v>250000</v>
      </c>
      <c r="H124" s="191">
        <v>250000</v>
      </c>
      <c r="I124" s="190" t="s">
        <v>509</v>
      </c>
      <c r="J124" s="189"/>
      <c r="K124" s="189"/>
      <c r="L124" s="189">
        <v>180</v>
      </c>
      <c r="M124" s="198"/>
      <c r="N124" s="192">
        <v>500000</v>
      </c>
      <c r="O124" s="192"/>
      <c r="P124" s="192"/>
      <c r="Q124" s="189" t="s">
        <v>64</v>
      </c>
      <c r="R124" s="189" t="s">
        <v>510</v>
      </c>
      <c r="S124" s="189" t="s">
        <v>527</v>
      </c>
      <c r="T124" s="189" t="s">
        <v>527</v>
      </c>
      <c r="U124" s="195" t="s">
        <v>528</v>
      </c>
      <c r="V124" s="195" t="s">
        <v>512</v>
      </c>
      <c r="W124" s="189" t="s">
        <v>131</v>
      </c>
      <c r="X124" s="189"/>
      <c r="Y124" s="189" t="s">
        <v>131</v>
      </c>
      <c r="Z124" s="189" t="s">
        <v>64</v>
      </c>
      <c r="AA124" s="190" t="s">
        <v>523</v>
      </c>
      <c r="AB124" s="196" t="s">
        <v>53</v>
      </c>
      <c r="AC124" s="196" t="s">
        <v>53</v>
      </c>
      <c r="AD124" s="196"/>
      <c r="AE124" s="196"/>
      <c r="AF124" s="196"/>
      <c r="AG124" s="196"/>
      <c r="AH124" s="196"/>
      <c r="AI124" s="196"/>
      <c r="AJ124" s="190" t="s">
        <v>513</v>
      </c>
      <c r="AK124" s="189"/>
      <c r="AL124" s="196">
        <f t="shared" si="16"/>
        <v>5.4347826086956523</v>
      </c>
      <c r="AM124" s="190" t="s">
        <v>524</v>
      </c>
      <c r="AO124" s="38"/>
      <c r="AP124" s="107"/>
    </row>
    <row r="125" spans="1:42" ht="51" x14ac:dyDescent="0.25">
      <c r="A125" s="189">
        <v>3</v>
      </c>
      <c r="B125" s="190" t="s">
        <v>506</v>
      </c>
      <c r="C125" s="190" t="s">
        <v>529</v>
      </c>
      <c r="D125" s="190"/>
      <c r="E125" s="197" t="s">
        <v>658</v>
      </c>
      <c r="F125" s="191">
        <v>2500000</v>
      </c>
      <c r="G125" s="191">
        <f>F125/2</f>
        <v>1250000</v>
      </c>
      <c r="H125" s="191">
        <v>1250000</v>
      </c>
      <c r="I125" s="190" t="s">
        <v>509</v>
      </c>
      <c r="J125" s="189"/>
      <c r="K125" s="189"/>
      <c r="L125" s="189">
        <v>365</v>
      </c>
      <c r="M125" s="192"/>
      <c r="N125" s="192"/>
      <c r="O125" s="192"/>
      <c r="P125" s="192"/>
      <c r="Q125" s="189" t="s">
        <v>64</v>
      </c>
      <c r="R125" s="189" t="s">
        <v>34</v>
      </c>
      <c r="S125" s="189" t="s">
        <v>527</v>
      </c>
      <c r="T125" s="189" t="s">
        <v>527</v>
      </c>
      <c r="U125" s="195" t="s">
        <v>530</v>
      </c>
      <c r="V125" s="195" t="s">
        <v>512</v>
      </c>
      <c r="W125" s="189" t="s">
        <v>131</v>
      </c>
      <c r="X125" s="189"/>
      <c r="Y125" s="189" t="s">
        <v>131</v>
      </c>
      <c r="Z125" s="189" t="s">
        <v>64</v>
      </c>
      <c r="AA125" s="190" t="s">
        <v>523</v>
      </c>
      <c r="AB125" s="196" t="s">
        <v>53</v>
      </c>
      <c r="AC125" s="196" t="s">
        <v>53</v>
      </c>
      <c r="AD125" s="196"/>
      <c r="AE125" s="196"/>
      <c r="AF125" s="196"/>
      <c r="AG125" s="196"/>
      <c r="AH125" s="196"/>
      <c r="AI125" s="196"/>
      <c r="AJ125" s="190" t="s">
        <v>513</v>
      </c>
      <c r="AK125" s="189"/>
      <c r="AL125" s="196">
        <f t="shared" si="16"/>
        <v>27.173913043478262</v>
      </c>
      <c r="AM125" s="190" t="s">
        <v>524</v>
      </c>
    </row>
    <row r="126" spans="1:42" ht="51" x14ac:dyDescent="0.25">
      <c r="A126" s="189">
        <v>3</v>
      </c>
      <c r="B126" s="190" t="s">
        <v>506</v>
      </c>
      <c r="C126" s="190" t="s">
        <v>531</v>
      </c>
      <c r="D126" s="190"/>
      <c r="E126" s="190" t="s">
        <v>532</v>
      </c>
      <c r="F126" s="191">
        <v>8000000</v>
      </c>
      <c r="G126" s="191">
        <v>4000000</v>
      </c>
      <c r="H126" s="191">
        <v>4000000</v>
      </c>
      <c r="I126" s="190" t="s">
        <v>509</v>
      </c>
      <c r="J126" s="189"/>
      <c r="K126" s="189"/>
      <c r="L126" s="189">
        <v>365</v>
      </c>
      <c r="M126" s="192"/>
      <c r="N126" s="192"/>
      <c r="O126" s="192"/>
      <c r="P126" s="192"/>
      <c r="Q126" s="189" t="s">
        <v>64</v>
      </c>
      <c r="R126" s="189" t="s">
        <v>34</v>
      </c>
      <c r="S126" s="189" t="s">
        <v>527</v>
      </c>
      <c r="T126" s="189" t="s">
        <v>527</v>
      </c>
      <c r="U126" s="199" t="s">
        <v>533</v>
      </c>
      <c r="V126" s="195" t="s">
        <v>512</v>
      </c>
      <c r="W126" s="189"/>
      <c r="X126" s="189"/>
      <c r="Y126" s="189"/>
      <c r="Z126" s="189" t="s">
        <v>64</v>
      </c>
      <c r="AA126" s="190"/>
      <c r="AB126" s="196" t="s">
        <v>53</v>
      </c>
      <c r="AC126" s="196" t="s">
        <v>53</v>
      </c>
      <c r="AD126" s="196"/>
      <c r="AE126" s="196"/>
      <c r="AF126" s="196"/>
      <c r="AG126" s="196"/>
      <c r="AH126" s="196"/>
      <c r="AI126" s="196"/>
      <c r="AJ126" s="190" t="s">
        <v>513</v>
      </c>
      <c r="AK126" s="189"/>
      <c r="AL126" s="196">
        <f t="shared" si="16"/>
        <v>86.956521739130437</v>
      </c>
      <c r="AM126" s="190" t="s">
        <v>524</v>
      </c>
    </row>
    <row r="127" spans="1:42" ht="51.75" thickBot="1" x14ac:dyDescent="0.3">
      <c r="A127" s="200">
        <v>3</v>
      </c>
      <c r="B127" s="201" t="s">
        <v>506</v>
      </c>
      <c r="C127" s="201" t="s">
        <v>534</v>
      </c>
      <c r="D127" s="201"/>
      <c r="E127" s="201" t="s">
        <v>535</v>
      </c>
      <c r="F127" s="202">
        <v>1000000</v>
      </c>
      <c r="G127" s="202">
        <v>500000</v>
      </c>
      <c r="H127" s="202">
        <v>500000</v>
      </c>
      <c r="I127" s="201" t="s">
        <v>509</v>
      </c>
      <c r="J127" s="200"/>
      <c r="K127" s="200"/>
      <c r="L127" s="200">
        <v>365</v>
      </c>
      <c r="M127" s="203"/>
      <c r="N127" s="203"/>
      <c r="O127" s="203"/>
      <c r="P127" s="203"/>
      <c r="Q127" s="200" t="s">
        <v>64</v>
      </c>
      <c r="R127" s="200" t="s">
        <v>510</v>
      </c>
      <c r="S127" s="200" t="s">
        <v>527</v>
      </c>
      <c r="T127" s="200" t="s">
        <v>527</v>
      </c>
      <c r="U127" s="204"/>
      <c r="V127" s="205" t="s">
        <v>512</v>
      </c>
      <c r="W127" s="200"/>
      <c r="X127" s="200"/>
      <c r="Y127" s="200"/>
      <c r="Z127" s="200" t="s">
        <v>64</v>
      </c>
      <c r="AA127" s="201"/>
      <c r="AB127" s="206" t="s">
        <v>53</v>
      </c>
      <c r="AC127" s="206" t="s">
        <v>53</v>
      </c>
      <c r="AD127" s="206"/>
      <c r="AE127" s="206"/>
      <c r="AF127" s="206"/>
      <c r="AG127" s="206"/>
      <c r="AH127" s="206"/>
      <c r="AI127" s="206"/>
      <c r="AJ127" s="201" t="s">
        <v>513</v>
      </c>
      <c r="AK127" s="200"/>
      <c r="AL127" s="206">
        <f t="shared" si="16"/>
        <v>10.869565217391305</v>
      </c>
      <c r="AM127" s="201" t="s">
        <v>524</v>
      </c>
    </row>
    <row r="128" spans="1:42" ht="204" x14ac:dyDescent="0.25">
      <c r="A128" s="97">
        <v>1</v>
      </c>
      <c r="B128" s="93" t="s">
        <v>536</v>
      </c>
      <c r="C128" s="93" t="s">
        <v>537</v>
      </c>
      <c r="D128" s="93"/>
      <c r="E128" s="93" t="s">
        <v>538</v>
      </c>
      <c r="F128" s="132">
        <v>35500000</v>
      </c>
      <c r="G128" s="207">
        <v>30500000</v>
      </c>
      <c r="H128" s="132">
        <v>5000000</v>
      </c>
      <c r="I128" s="97" t="s">
        <v>299</v>
      </c>
      <c r="J128" s="97"/>
      <c r="K128" s="97"/>
      <c r="L128" s="97">
        <v>90</v>
      </c>
      <c r="M128" s="98">
        <v>500000</v>
      </c>
      <c r="N128" s="98">
        <v>3000000</v>
      </c>
      <c r="O128" s="99">
        <v>5500000</v>
      </c>
      <c r="P128" s="98">
        <v>8000000</v>
      </c>
      <c r="Q128" s="97" t="s">
        <v>539</v>
      </c>
      <c r="R128" s="97"/>
      <c r="S128" s="100">
        <v>44013</v>
      </c>
      <c r="T128" s="100">
        <v>45474</v>
      </c>
      <c r="U128" s="124" t="s">
        <v>540</v>
      </c>
      <c r="V128" s="124" t="s">
        <v>541</v>
      </c>
      <c r="W128" s="97" t="s">
        <v>131</v>
      </c>
      <c r="X128" s="97" t="s">
        <v>131</v>
      </c>
      <c r="Y128" s="97" t="s">
        <v>131</v>
      </c>
      <c r="Z128" s="97" t="s">
        <v>131</v>
      </c>
      <c r="AA128" s="93" t="s">
        <v>542</v>
      </c>
      <c r="AB128" s="96" t="s">
        <v>53</v>
      </c>
      <c r="AC128" s="96" t="s">
        <v>53</v>
      </c>
      <c r="AD128" s="96"/>
      <c r="AE128" s="96"/>
      <c r="AF128" s="96" t="s">
        <v>53</v>
      </c>
      <c r="AG128" s="96"/>
      <c r="AH128" s="96"/>
      <c r="AI128" s="96"/>
      <c r="AJ128" s="97"/>
      <c r="AK128" s="93" t="s">
        <v>543</v>
      </c>
      <c r="AL128" s="96">
        <f t="shared" si="16"/>
        <v>385.86956521739131</v>
      </c>
      <c r="AM128" s="93" t="s">
        <v>544</v>
      </c>
    </row>
    <row r="129" spans="1:39" ht="141" thickBot="1" x14ac:dyDescent="0.3">
      <c r="A129" s="133">
        <v>1</v>
      </c>
      <c r="B129" s="134" t="s">
        <v>545</v>
      </c>
      <c r="C129" s="134" t="s">
        <v>546</v>
      </c>
      <c r="D129" s="134"/>
      <c r="E129" s="134" t="s">
        <v>547</v>
      </c>
      <c r="F129" s="135">
        <v>3100000</v>
      </c>
      <c r="G129" s="135">
        <v>1400000</v>
      </c>
      <c r="H129" s="135">
        <v>1700000</v>
      </c>
      <c r="I129" s="133" t="s">
        <v>299</v>
      </c>
      <c r="J129" s="133"/>
      <c r="K129" s="133"/>
      <c r="L129" s="133">
        <v>90</v>
      </c>
      <c r="M129" s="137">
        <v>200000</v>
      </c>
      <c r="N129" s="137">
        <v>1150000</v>
      </c>
      <c r="O129" s="137">
        <v>2100000</v>
      </c>
      <c r="P129" s="137">
        <v>3100000</v>
      </c>
      <c r="Q129" s="133" t="s">
        <v>539</v>
      </c>
      <c r="R129" s="133"/>
      <c r="S129" s="138">
        <v>43983</v>
      </c>
      <c r="T129" s="138">
        <v>43983</v>
      </c>
      <c r="U129" s="139" t="s">
        <v>548</v>
      </c>
      <c r="V129" s="139" t="s">
        <v>549</v>
      </c>
      <c r="W129" s="133" t="s">
        <v>131</v>
      </c>
      <c r="X129" s="133" t="s">
        <v>131</v>
      </c>
      <c r="Y129" s="133" t="s">
        <v>131</v>
      </c>
      <c r="Z129" s="134" t="s">
        <v>131</v>
      </c>
      <c r="AA129" s="134" t="s">
        <v>550</v>
      </c>
      <c r="AB129" s="140" t="s">
        <v>53</v>
      </c>
      <c r="AC129" s="140" t="s">
        <v>53</v>
      </c>
      <c r="AD129" s="140"/>
      <c r="AE129" s="140"/>
      <c r="AF129" s="140" t="s">
        <v>53</v>
      </c>
      <c r="AG129" s="140"/>
      <c r="AH129" s="140"/>
      <c r="AI129" s="140"/>
      <c r="AJ129" s="133"/>
      <c r="AK129" s="134" t="s">
        <v>551</v>
      </c>
      <c r="AL129" s="140">
        <f t="shared" si="16"/>
        <v>33.695652173913047</v>
      </c>
      <c r="AM129" s="134" t="s">
        <v>552</v>
      </c>
    </row>
    <row r="130" spans="1:39" ht="63.75" x14ac:dyDescent="0.2">
      <c r="A130" s="109">
        <v>1</v>
      </c>
      <c r="B130" s="56" t="s">
        <v>553</v>
      </c>
      <c r="C130" s="62" t="s">
        <v>665</v>
      </c>
      <c r="D130" s="62"/>
      <c r="E130" s="110" t="s">
        <v>666</v>
      </c>
      <c r="F130" s="111">
        <v>16000000</v>
      </c>
      <c r="G130" s="111">
        <v>8000000</v>
      </c>
      <c r="H130" s="111">
        <v>8000000</v>
      </c>
      <c r="I130" s="112" t="s">
        <v>67</v>
      </c>
      <c r="J130" s="112"/>
      <c r="K130" s="112"/>
      <c r="L130" s="112">
        <v>180</v>
      </c>
      <c r="M130" s="111">
        <v>1000000</v>
      </c>
      <c r="N130" s="111">
        <v>3000000</v>
      </c>
      <c r="O130" s="111">
        <v>5000000</v>
      </c>
      <c r="P130" s="111">
        <v>8000000</v>
      </c>
      <c r="Q130" s="52" t="s">
        <v>131</v>
      </c>
      <c r="R130" s="112"/>
      <c r="S130" s="113">
        <v>44119</v>
      </c>
      <c r="T130" s="113">
        <v>45214</v>
      </c>
      <c r="U130" s="112" t="s">
        <v>667</v>
      </c>
      <c r="V130" s="112" t="s">
        <v>557</v>
      </c>
      <c r="W130" s="52" t="s">
        <v>64</v>
      </c>
      <c r="X130" s="52" t="s">
        <v>558</v>
      </c>
      <c r="Y130" s="52" t="s">
        <v>131</v>
      </c>
      <c r="Z130" s="52" t="s">
        <v>64</v>
      </c>
      <c r="AA130" s="52" t="s">
        <v>559</v>
      </c>
      <c r="AB130" s="103" t="s">
        <v>53</v>
      </c>
      <c r="AC130" s="103" t="s">
        <v>53</v>
      </c>
      <c r="AD130" s="103"/>
      <c r="AE130" s="103"/>
      <c r="AF130" s="103"/>
      <c r="AG130" s="103"/>
      <c r="AH130" s="103"/>
      <c r="AI130" s="103" t="s">
        <v>53</v>
      </c>
      <c r="AJ130" s="112"/>
      <c r="AK130" s="112"/>
      <c r="AL130" s="60">
        <f>F130/92000</f>
        <v>173.91304347826087</v>
      </c>
      <c r="AM130" s="62" t="s">
        <v>561</v>
      </c>
    </row>
    <row r="131" spans="1:39" ht="63.75" x14ac:dyDescent="0.25">
      <c r="A131" s="189">
        <v>1</v>
      </c>
      <c r="B131" s="190" t="s">
        <v>553</v>
      </c>
      <c r="C131" s="190" t="s">
        <v>554</v>
      </c>
      <c r="D131" s="190"/>
      <c r="E131" s="190" t="s">
        <v>659</v>
      </c>
      <c r="F131" s="208">
        <v>2500000</v>
      </c>
      <c r="G131" s="208">
        <v>1250000</v>
      </c>
      <c r="H131" s="208">
        <v>1250000</v>
      </c>
      <c r="I131" s="190" t="s">
        <v>555</v>
      </c>
      <c r="J131" s="189"/>
      <c r="K131" s="189"/>
      <c r="L131" s="189">
        <v>180</v>
      </c>
      <c r="M131" s="209">
        <v>200000</v>
      </c>
      <c r="N131" s="209">
        <v>1000000</v>
      </c>
      <c r="O131" s="209">
        <v>1500000</v>
      </c>
      <c r="P131" s="209">
        <v>2000000</v>
      </c>
      <c r="Q131" s="189" t="s">
        <v>131</v>
      </c>
      <c r="R131" s="189"/>
      <c r="S131" s="194">
        <v>44119</v>
      </c>
      <c r="T131" s="194">
        <v>44484</v>
      </c>
      <c r="U131" s="195" t="s">
        <v>556</v>
      </c>
      <c r="V131" s="195" t="s">
        <v>557</v>
      </c>
      <c r="W131" s="189" t="s">
        <v>64</v>
      </c>
      <c r="X131" s="189" t="s">
        <v>558</v>
      </c>
      <c r="Y131" s="189" t="s">
        <v>131</v>
      </c>
      <c r="Z131" s="189" t="s">
        <v>64</v>
      </c>
      <c r="AA131" s="190" t="s">
        <v>559</v>
      </c>
      <c r="AB131" s="196" t="s">
        <v>61</v>
      </c>
      <c r="AC131" s="196" t="s">
        <v>61</v>
      </c>
      <c r="AD131" s="196"/>
      <c r="AE131" s="196"/>
      <c r="AF131" s="196"/>
      <c r="AG131" s="196"/>
      <c r="AH131" s="196"/>
      <c r="AI131" s="196" t="s">
        <v>61</v>
      </c>
      <c r="AJ131" s="190" t="s">
        <v>560</v>
      </c>
      <c r="AK131" s="189"/>
      <c r="AL131" s="196">
        <f t="shared" si="16"/>
        <v>27.173913043478262</v>
      </c>
      <c r="AM131" s="190" t="s">
        <v>561</v>
      </c>
    </row>
    <row r="132" spans="1:39" ht="63.75" x14ac:dyDescent="0.25">
      <c r="A132" s="189">
        <v>1</v>
      </c>
      <c r="B132" s="190" t="s">
        <v>553</v>
      </c>
      <c r="C132" s="190" t="s">
        <v>562</v>
      </c>
      <c r="D132" s="190"/>
      <c r="E132" s="190" t="s">
        <v>563</v>
      </c>
      <c r="F132" s="208">
        <v>1000000</v>
      </c>
      <c r="G132" s="208">
        <v>500000</v>
      </c>
      <c r="H132" s="208">
        <v>500000</v>
      </c>
      <c r="I132" s="210" t="s">
        <v>67</v>
      </c>
      <c r="J132" s="210"/>
      <c r="K132" s="210"/>
      <c r="L132" s="211">
        <v>90</v>
      </c>
      <c r="M132" s="209">
        <v>500000</v>
      </c>
      <c r="N132" s="209">
        <v>750000</v>
      </c>
      <c r="O132" s="209">
        <v>1000000</v>
      </c>
      <c r="P132" s="209"/>
      <c r="Q132" s="189" t="s">
        <v>131</v>
      </c>
      <c r="R132" s="189"/>
      <c r="S132" s="194">
        <v>44013</v>
      </c>
      <c r="T132" s="194">
        <v>44166</v>
      </c>
      <c r="U132" s="195" t="s">
        <v>564</v>
      </c>
      <c r="V132" s="195" t="s">
        <v>557</v>
      </c>
      <c r="W132" s="189" t="s">
        <v>64</v>
      </c>
      <c r="X132" s="189" t="s">
        <v>558</v>
      </c>
      <c r="Y132" s="189" t="s">
        <v>505</v>
      </c>
      <c r="Z132" s="189" t="s">
        <v>131</v>
      </c>
      <c r="AA132" s="190" t="s">
        <v>565</v>
      </c>
      <c r="AB132" s="196" t="s">
        <v>61</v>
      </c>
      <c r="AC132" s="196" t="s">
        <v>61</v>
      </c>
      <c r="AD132" s="196"/>
      <c r="AE132" s="196"/>
      <c r="AF132" s="196"/>
      <c r="AG132" s="196"/>
      <c r="AH132" s="196"/>
      <c r="AI132" s="196" t="s">
        <v>61</v>
      </c>
      <c r="AJ132" s="190" t="s">
        <v>560</v>
      </c>
      <c r="AK132" s="189"/>
      <c r="AL132" s="196">
        <f t="shared" si="16"/>
        <v>10.869565217391305</v>
      </c>
      <c r="AM132" s="190" t="s">
        <v>561</v>
      </c>
    </row>
    <row r="133" spans="1:39" ht="76.5" x14ac:dyDescent="0.25">
      <c r="A133" s="189">
        <v>1</v>
      </c>
      <c r="B133" s="190" t="s">
        <v>553</v>
      </c>
      <c r="C133" s="190" t="s">
        <v>566</v>
      </c>
      <c r="D133" s="190"/>
      <c r="E133" s="212" t="s">
        <v>567</v>
      </c>
      <c r="F133" s="208">
        <v>3000000</v>
      </c>
      <c r="G133" s="208">
        <f>F133*0.5</f>
        <v>1500000</v>
      </c>
      <c r="H133" s="208">
        <f>G133</f>
        <v>1500000</v>
      </c>
      <c r="I133" s="210" t="s">
        <v>67</v>
      </c>
      <c r="J133" s="210"/>
      <c r="K133" s="210"/>
      <c r="L133" s="211">
        <v>90</v>
      </c>
      <c r="M133" s="209">
        <v>50000</v>
      </c>
      <c r="N133" s="209">
        <v>1000000</v>
      </c>
      <c r="O133" s="209">
        <v>1500000</v>
      </c>
      <c r="P133" s="209">
        <v>3000000</v>
      </c>
      <c r="Q133" s="189" t="s">
        <v>131</v>
      </c>
      <c r="R133" s="189"/>
      <c r="S133" s="194">
        <v>44075</v>
      </c>
      <c r="T133" s="194">
        <v>43891</v>
      </c>
      <c r="U133" s="213" t="s">
        <v>568</v>
      </c>
      <c r="V133" s="195" t="s">
        <v>557</v>
      </c>
      <c r="W133" s="189" t="s">
        <v>64</v>
      </c>
      <c r="X133" s="189" t="s">
        <v>558</v>
      </c>
      <c r="Y133" s="189" t="s">
        <v>64</v>
      </c>
      <c r="Z133" s="189" t="s">
        <v>64</v>
      </c>
      <c r="AA133" s="197" t="s">
        <v>569</v>
      </c>
      <c r="AB133" s="196" t="s">
        <v>61</v>
      </c>
      <c r="AC133" s="196" t="s">
        <v>61</v>
      </c>
      <c r="AD133" s="196"/>
      <c r="AE133" s="196"/>
      <c r="AF133" s="196"/>
      <c r="AG133" s="196"/>
      <c r="AH133" s="196"/>
      <c r="AI133" s="196" t="s">
        <v>61</v>
      </c>
      <c r="AJ133" s="190" t="s">
        <v>570</v>
      </c>
      <c r="AK133" s="189"/>
      <c r="AL133" s="196">
        <f t="shared" si="16"/>
        <v>32.608695652173914</v>
      </c>
      <c r="AM133" s="190" t="s">
        <v>561</v>
      </c>
    </row>
    <row r="134" spans="1:39" ht="102" x14ac:dyDescent="0.25">
      <c r="A134" s="189">
        <v>1</v>
      </c>
      <c r="B134" s="190" t="s">
        <v>553</v>
      </c>
      <c r="C134" s="212" t="s">
        <v>571</v>
      </c>
      <c r="D134" s="212"/>
      <c r="E134" s="197" t="s">
        <v>572</v>
      </c>
      <c r="F134" s="208">
        <v>4500000</v>
      </c>
      <c r="G134" s="208">
        <f t="shared" ref="G134:G136" si="17">F134*0.5</f>
        <v>2250000</v>
      </c>
      <c r="H134" s="208">
        <f t="shared" ref="H134:H136" si="18">G134</f>
        <v>2250000</v>
      </c>
      <c r="I134" s="210" t="s">
        <v>67</v>
      </c>
      <c r="J134" s="210"/>
      <c r="K134" s="210"/>
      <c r="L134" s="211">
        <v>180</v>
      </c>
      <c r="M134" s="209">
        <v>400000</v>
      </c>
      <c r="N134" s="209">
        <v>800000</v>
      </c>
      <c r="O134" s="209">
        <v>1500000</v>
      </c>
      <c r="P134" s="209">
        <v>3000000</v>
      </c>
      <c r="Q134" s="189" t="s">
        <v>131</v>
      </c>
      <c r="R134" s="189"/>
      <c r="S134" s="194">
        <v>44136</v>
      </c>
      <c r="T134" s="194">
        <v>44916</v>
      </c>
      <c r="U134" s="214" t="s">
        <v>573</v>
      </c>
      <c r="V134" s="195" t="s">
        <v>557</v>
      </c>
      <c r="W134" s="189" t="s">
        <v>64</v>
      </c>
      <c r="X134" s="189" t="s">
        <v>558</v>
      </c>
      <c r="Y134" s="189" t="s">
        <v>64</v>
      </c>
      <c r="Z134" s="189" t="s">
        <v>131</v>
      </c>
      <c r="AA134" s="197" t="s">
        <v>574</v>
      </c>
      <c r="AB134" s="196" t="s">
        <v>61</v>
      </c>
      <c r="AC134" s="196"/>
      <c r="AD134" s="196"/>
      <c r="AE134" s="196"/>
      <c r="AF134" s="196"/>
      <c r="AG134" s="196"/>
      <c r="AH134" s="196"/>
      <c r="AI134" s="196"/>
      <c r="AJ134" s="190" t="s">
        <v>575</v>
      </c>
      <c r="AK134" s="189"/>
      <c r="AL134" s="196">
        <f t="shared" si="16"/>
        <v>48.913043478260867</v>
      </c>
      <c r="AM134" s="190" t="s">
        <v>561</v>
      </c>
    </row>
    <row r="135" spans="1:39" ht="63.75" x14ac:dyDescent="0.25">
      <c r="A135" s="189">
        <v>1</v>
      </c>
      <c r="B135" s="190" t="s">
        <v>553</v>
      </c>
      <c r="C135" s="190" t="s">
        <v>576</v>
      </c>
      <c r="D135" s="190"/>
      <c r="E135" s="215" t="s">
        <v>577</v>
      </c>
      <c r="F135" s="216">
        <v>920000</v>
      </c>
      <c r="G135" s="208">
        <f t="shared" si="17"/>
        <v>460000</v>
      </c>
      <c r="H135" s="208">
        <f t="shared" si="18"/>
        <v>460000</v>
      </c>
      <c r="I135" s="210" t="s">
        <v>67</v>
      </c>
      <c r="J135" s="210"/>
      <c r="K135" s="210"/>
      <c r="L135" s="211">
        <v>180</v>
      </c>
      <c r="M135" s="209">
        <v>150000</v>
      </c>
      <c r="N135" s="209">
        <v>500000</v>
      </c>
      <c r="O135" s="209">
        <v>920000</v>
      </c>
      <c r="P135" s="209"/>
      <c r="Q135" s="189" t="s">
        <v>131</v>
      </c>
      <c r="R135" s="189"/>
      <c r="S135" s="194">
        <v>44105</v>
      </c>
      <c r="T135" s="194">
        <v>44228</v>
      </c>
      <c r="U135" s="214" t="s">
        <v>573</v>
      </c>
      <c r="V135" s="195" t="s">
        <v>557</v>
      </c>
      <c r="W135" s="189" t="s">
        <v>64</v>
      </c>
      <c r="X135" s="189" t="s">
        <v>558</v>
      </c>
      <c r="Y135" s="189" t="s">
        <v>64</v>
      </c>
      <c r="Z135" s="189" t="s">
        <v>131</v>
      </c>
      <c r="AA135" s="190" t="s">
        <v>578</v>
      </c>
      <c r="AB135" s="196" t="s">
        <v>61</v>
      </c>
      <c r="AC135" s="196"/>
      <c r="AD135" s="196"/>
      <c r="AE135" s="196"/>
      <c r="AF135" s="196"/>
      <c r="AG135" s="196"/>
      <c r="AH135" s="196"/>
      <c r="AI135" s="196"/>
      <c r="AJ135" s="190" t="s">
        <v>575</v>
      </c>
      <c r="AK135" s="189"/>
      <c r="AL135" s="196">
        <f t="shared" si="16"/>
        <v>10</v>
      </c>
      <c r="AM135" s="190" t="s">
        <v>561</v>
      </c>
    </row>
    <row r="136" spans="1:39" ht="103.5" customHeight="1" x14ac:dyDescent="0.25">
      <c r="A136" s="189">
        <v>1</v>
      </c>
      <c r="B136" s="190" t="s">
        <v>553</v>
      </c>
      <c r="C136" s="190" t="s">
        <v>579</v>
      </c>
      <c r="D136" s="190"/>
      <c r="E136" s="190" t="s">
        <v>580</v>
      </c>
      <c r="F136" s="217">
        <v>8000000</v>
      </c>
      <c r="G136" s="208">
        <f t="shared" si="17"/>
        <v>4000000</v>
      </c>
      <c r="H136" s="208">
        <f t="shared" si="18"/>
        <v>4000000</v>
      </c>
      <c r="I136" s="210" t="s">
        <v>67</v>
      </c>
      <c r="J136" s="210"/>
      <c r="K136" s="210"/>
      <c r="L136" s="211">
        <v>180</v>
      </c>
      <c r="M136" s="218">
        <v>400000</v>
      </c>
      <c r="N136" s="209">
        <v>1500000</v>
      </c>
      <c r="O136" s="209">
        <v>3000000</v>
      </c>
      <c r="P136" s="209">
        <v>6000000</v>
      </c>
      <c r="Q136" s="189" t="s">
        <v>131</v>
      </c>
      <c r="R136" s="219"/>
      <c r="S136" s="194">
        <v>44136</v>
      </c>
      <c r="T136" s="194">
        <v>44597</v>
      </c>
      <c r="U136" s="195" t="s">
        <v>581</v>
      </c>
      <c r="V136" s="195" t="s">
        <v>557</v>
      </c>
      <c r="W136" s="189" t="s">
        <v>64</v>
      </c>
      <c r="X136" s="189" t="s">
        <v>558</v>
      </c>
      <c r="Y136" s="189" t="s">
        <v>64</v>
      </c>
      <c r="Z136" s="189" t="s">
        <v>505</v>
      </c>
      <c r="AA136" s="190" t="s">
        <v>582</v>
      </c>
      <c r="AB136" s="196" t="s">
        <v>61</v>
      </c>
      <c r="AC136" s="196"/>
      <c r="AD136" s="196"/>
      <c r="AE136" s="196"/>
      <c r="AF136" s="196"/>
      <c r="AG136" s="196"/>
      <c r="AH136" s="196"/>
      <c r="AI136" s="196"/>
      <c r="AJ136" s="190" t="s">
        <v>575</v>
      </c>
      <c r="AK136" s="189"/>
      <c r="AL136" s="196">
        <f t="shared" si="16"/>
        <v>86.956521739130437</v>
      </c>
      <c r="AM136" s="190" t="s">
        <v>561</v>
      </c>
    </row>
    <row r="137" spans="1:39" ht="73.5" customHeight="1" x14ac:dyDescent="0.25">
      <c r="A137" s="189">
        <v>1</v>
      </c>
      <c r="B137" s="190" t="s">
        <v>553</v>
      </c>
      <c r="C137" s="190" t="s">
        <v>583</v>
      </c>
      <c r="D137" s="190"/>
      <c r="E137" s="212" t="s">
        <v>584</v>
      </c>
      <c r="F137" s="216">
        <v>4000000</v>
      </c>
      <c r="G137" s="220">
        <v>2000000</v>
      </c>
      <c r="H137" s="220">
        <v>2000000</v>
      </c>
      <c r="I137" s="210" t="s">
        <v>67</v>
      </c>
      <c r="J137" s="221"/>
      <c r="K137" s="210"/>
      <c r="L137" s="211">
        <v>180</v>
      </c>
      <c r="M137" s="209">
        <v>500000</v>
      </c>
      <c r="N137" s="209">
        <v>1500000</v>
      </c>
      <c r="O137" s="209">
        <v>2500000</v>
      </c>
      <c r="P137" s="222">
        <v>3500000</v>
      </c>
      <c r="Q137" s="189" t="s">
        <v>131</v>
      </c>
      <c r="R137" s="223"/>
      <c r="S137" s="194">
        <v>44136</v>
      </c>
      <c r="T137" s="194">
        <v>44927</v>
      </c>
      <c r="U137" s="214" t="s">
        <v>573</v>
      </c>
      <c r="V137" s="195" t="s">
        <v>557</v>
      </c>
      <c r="W137" s="189" t="s">
        <v>64</v>
      </c>
      <c r="X137" s="189" t="s">
        <v>558</v>
      </c>
      <c r="Y137" s="189" t="s">
        <v>64</v>
      </c>
      <c r="Z137" s="189" t="s">
        <v>64</v>
      </c>
      <c r="AA137" s="190" t="s">
        <v>585</v>
      </c>
      <c r="AB137" s="196" t="s">
        <v>61</v>
      </c>
      <c r="AC137" s="196"/>
      <c r="AD137" s="196"/>
      <c r="AE137" s="196"/>
      <c r="AF137" s="196"/>
      <c r="AG137" s="196"/>
      <c r="AH137" s="196"/>
      <c r="AI137" s="196" t="s">
        <v>61</v>
      </c>
      <c r="AJ137" s="190" t="s">
        <v>586</v>
      </c>
      <c r="AK137" s="189"/>
      <c r="AL137" s="196">
        <f t="shared" si="16"/>
        <v>43.478260869565219</v>
      </c>
      <c r="AM137" s="190" t="s">
        <v>587</v>
      </c>
    </row>
    <row r="138" spans="1:39" ht="38.25" x14ac:dyDescent="0.25">
      <c r="A138" s="97">
        <v>1</v>
      </c>
      <c r="B138" s="93" t="s">
        <v>603</v>
      </c>
      <c r="C138" s="93" t="s">
        <v>604</v>
      </c>
      <c r="D138" s="265" t="s">
        <v>690</v>
      </c>
      <c r="E138" s="224" t="s">
        <v>605</v>
      </c>
      <c r="F138" s="225">
        <v>1300000</v>
      </c>
      <c r="G138" s="225">
        <v>650000</v>
      </c>
      <c r="H138" s="225">
        <f>+F138-G138</f>
        <v>650000</v>
      </c>
      <c r="I138" s="225" t="s">
        <v>606</v>
      </c>
      <c r="J138" s="225"/>
      <c r="K138" s="225"/>
      <c r="L138" s="97">
        <v>90</v>
      </c>
      <c r="M138" s="225"/>
      <c r="N138" s="225"/>
      <c r="O138" s="225"/>
      <c r="P138" s="225"/>
      <c r="Q138" s="97" t="s">
        <v>131</v>
      </c>
      <c r="R138" s="97"/>
      <c r="S138" s="100" t="s">
        <v>607</v>
      </c>
      <c r="T138" s="100" t="s">
        <v>608</v>
      </c>
      <c r="U138" s="124" t="s">
        <v>609</v>
      </c>
      <c r="V138" s="124"/>
      <c r="W138" s="97" t="s">
        <v>64</v>
      </c>
      <c r="X138" s="97" t="s">
        <v>558</v>
      </c>
      <c r="Y138" s="97" t="s">
        <v>131</v>
      </c>
      <c r="Z138" s="97" t="s">
        <v>558</v>
      </c>
      <c r="AA138" s="93"/>
      <c r="AB138" s="96" t="s">
        <v>53</v>
      </c>
      <c r="AC138" s="96"/>
      <c r="AD138" s="96"/>
      <c r="AE138" s="96"/>
      <c r="AF138" s="96"/>
      <c r="AG138" s="96"/>
      <c r="AH138" s="96"/>
      <c r="AI138" s="96"/>
      <c r="AJ138" s="124" t="s">
        <v>660</v>
      </c>
      <c r="AK138" s="124" t="s">
        <v>610</v>
      </c>
      <c r="AL138" s="96">
        <f>F138/92000</f>
        <v>14.130434782608695</v>
      </c>
      <c r="AM138" s="93" t="s">
        <v>611</v>
      </c>
    </row>
    <row r="139" spans="1:39" ht="79.5" customHeight="1" x14ac:dyDescent="0.25">
      <c r="A139" s="97">
        <v>2</v>
      </c>
      <c r="B139" s="93" t="s">
        <v>603</v>
      </c>
      <c r="C139" s="93" t="s">
        <v>612</v>
      </c>
      <c r="D139" s="265" t="s">
        <v>527</v>
      </c>
      <c r="E139" s="93" t="s">
        <v>613</v>
      </c>
      <c r="F139" s="225">
        <v>3000000</v>
      </c>
      <c r="G139" s="225">
        <v>1500000</v>
      </c>
      <c r="H139" s="225">
        <f>+F139-G139</f>
        <v>1500000</v>
      </c>
      <c r="I139" s="93" t="s">
        <v>614</v>
      </c>
      <c r="J139" s="93"/>
      <c r="K139" s="225"/>
      <c r="L139" s="97" t="s">
        <v>51</v>
      </c>
      <c r="M139" s="225"/>
      <c r="N139" s="225"/>
      <c r="O139" s="225"/>
      <c r="P139" s="225"/>
      <c r="Q139" s="97" t="s">
        <v>64</v>
      </c>
      <c r="R139" s="97">
        <v>2022</v>
      </c>
      <c r="S139" s="226"/>
      <c r="T139" s="226"/>
      <c r="U139" s="124" t="s">
        <v>615</v>
      </c>
      <c r="V139" s="124"/>
      <c r="W139" s="97" t="s">
        <v>64</v>
      </c>
      <c r="X139" s="97" t="s">
        <v>558</v>
      </c>
      <c r="Y139" s="97" t="s">
        <v>131</v>
      </c>
      <c r="Z139" s="97" t="s">
        <v>558</v>
      </c>
      <c r="AA139" s="93"/>
      <c r="AB139" s="96" t="s">
        <v>53</v>
      </c>
      <c r="AC139" s="96"/>
      <c r="AD139" s="96"/>
      <c r="AE139" s="96"/>
      <c r="AF139" s="96" t="s">
        <v>53</v>
      </c>
      <c r="AG139" s="96"/>
      <c r="AH139" s="96"/>
      <c r="AI139" s="96"/>
      <c r="AJ139" s="124" t="s">
        <v>661</v>
      </c>
      <c r="AK139" s="124" t="s">
        <v>662</v>
      </c>
      <c r="AL139" s="96">
        <f t="shared" ref="AL139:AL141" si="19">F139/92000</f>
        <v>32.608695652173914</v>
      </c>
      <c r="AM139" s="93" t="s">
        <v>611</v>
      </c>
    </row>
    <row r="140" spans="1:39" ht="69.75" customHeight="1" x14ac:dyDescent="0.25">
      <c r="A140" s="97">
        <v>3</v>
      </c>
      <c r="B140" s="93" t="s">
        <v>603</v>
      </c>
      <c r="C140" s="93" t="s">
        <v>616</v>
      </c>
      <c r="D140" s="265" t="s">
        <v>527</v>
      </c>
      <c r="E140" s="93" t="s">
        <v>617</v>
      </c>
      <c r="F140" s="225">
        <v>500000</v>
      </c>
      <c r="G140" s="225">
        <v>250000</v>
      </c>
      <c r="H140" s="225">
        <f>+F140-G140</f>
        <v>250000</v>
      </c>
      <c r="I140" s="225" t="s">
        <v>606</v>
      </c>
      <c r="J140" s="225"/>
      <c r="K140" s="225"/>
      <c r="L140" s="97">
        <v>365</v>
      </c>
      <c r="M140" s="225"/>
      <c r="N140" s="225"/>
      <c r="O140" s="225"/>
      <c r="P140" s="225"/>
      <c r="Q140" s="97" t="s">
        <v>64</v>
      </c>
      <c r="R140" s="97">
        <v>2021</v>
      </c>
      <c r="S140" s="226" t="s">
        <v>618</v>
      </c>
      <c r="T140" s="226" t="s">
        <v>619</v>
      </c>
      <c r="U140" s="124" t="s">
        <v>620</v>
      </c>
      <c r="V140" s="124"/>
      <c r="W140" s="97" t="s">
        <v>64</v>
      </c>
      <c r="X140" s="97" t="s">
        <v>558</v>
      </c>
      <c r="Y140" s="97" t="s">
        <v>131</v>
      </c>
      <c r="Z140" s="97" t="s">
        <v>558</v>
      </c>
      <c r="AA140" s="93"/>
      <c r="AB140" s="96" t="s">
        <v>53</v>
      </c>
      <c r="AC140" s="96"/>
      <c r="AD140" s="96"/>
      <c r="AE140" s="96"/>
      <c r="AF140" s="96" t="s">
        <v>53</v>
      </c>
      <c r="AG140" s="96"/>
      <c r="AH140" s="96"/>
      <c r="AI140" s="96"/>
      <c r="AJ140" s="124" t="s">
        <v>660</v>
      </c>
      <c r="AK140" s="124" t="s">
        <v>621</v>
      </c>
      <c r="AL140" s="96">
        <f>F140/92000</f>
        <v>5.4347826086956523</v>
      </c>
      <c r="AM140" s="93" t="s">
        <v>611</v>
      </c>
    </row>
    <row r="141" spans="1:39" ht="89.25" x14ac:dyDescent="0.25">
      <c r="A141" s="97">
        <v>4</v>
      </c>
      <c r="B141" s="93" t="s">
        <v>603</v>
      </c>
      <c r="C141" s="93" t="s">
        <v>622</v>
      </c>
      <c r="D141" s="265" t="s">
        <v>527</v>
      </c>
      <c r="E141" s="224" t="s">
        <v>623</v>
      </c>
      <c r="F141" s="225">
        <v>1000000</v>
      </c>
      <c r="G141" s="225">
        <v>500000</v>
      </c>
      <c r="H141" s="225">
        <f>+F141-G141</f>
        <v>500000</v>
      </c>
      <c r="I141" s="225" t="s">
        <v>606</v>
      </c>
      <c r="J141" s="225"/>
      <c r="K141" s="225"/>
      <c r="L141" s="97" t="s">
        <v>51</v>
      </c>
      <c r="M141" s="225"/>
      <c r="N141" s="225"/>
      <c r="O141" s="225"/>
      <c r="P141" s="225"/>
      <c r="Q141" s="97" t="s">
        <v>64</v>
      </c>
      <c r="R141" s="97">
        <v>2022</v>
      </c>
      <c r="S141" s="100"/>
      <c r="T141" s="100"/>
      <c r="U141" s="124" t="s">
        <v>624</v>
      </c>
      <c r="V141" s="124"/>
      <c r="W141" s="97" t="s">
        <v>64</v>
      </c>
      <c r="X141" s="97" t="s">
        <v>558</v>
      </c>
      <c r="Y141" s="97" t="s">
        <v>131</v>
      </c>
      <c r="Z141" s="97" t="s">
        <v>558</v>
      </c>
      <c r="AA141" s="93"/>
      <c r="AB141" s="96"/>
      <c r="AC141" s="96"/>
      <c r="AD141" s="96"/>
      <c r="AE141" s="96"/>
      <c r="AF141" s="96"/>
      <c r="AG141" s="96"/>
      <c r="AH141" s="96"/>
      <c r="AI141" s="96"/>
      <c r="AJ141" s="124" t="s">
        <v>663</v>
      </c>
      <c r="AK141" s="124" t="s">
        <v>625</v>
      </c>
      <c r="AL141" s="96">
        <f t="shared" si="19"/>
        <v>10.869565217391305</v>
      </c>
      <c r="AM141" s="93" t="s">
        <v>611</v>
      </c>
    </row>
    <row r="142" spans="1:39" ht="63.75" x14ac:dyDescent="0.2">
      <c r="A142" s="227"/>
      <c r="B142" s="52" t="s">
        <v>588</v>
      </c>
      <c r="C142" s="52" t="s">
        <v>589</v>
      </c>
      <c r="D142" s="52"/>
      <c r="E142" s="52" t="s">
        <v>664</v>
      </c>
      <c r="F142" s="54">
        <v>16500000</v>
      </c>
      <c r="G142" s="55"/>
      <c r="H142" s="55"/>
      <c r="I142" s="56"/>
      <c r="J142" s="56"/>
      <c r="K142" s="56"/>
      <c r="L142" s="57"/>
      <c r="M142" s="58"/>
      <c r="N142" s="59"/>
      <c r="O142" s="59"/>
      <c r="P142" s="59"/>
      <c r="Q142" s="108"/>
      <c r="R142" s="53" t="s">
        <v>590</v>
      </c>
      <c r="S142" s="56"/>
      <c r="T142" s="56"/>
      <c r="U142" s="56"/>
      <c r="V142" s="56"/>
      <c r="W142" s="56"/>
      <c r="X142" s="56"/>
      <c r="Y142" s="56"/>
      <c r="Z142" s="56"/>
      <c r="AA142" s="57"/>
      <c r="AB142" s="56"/>
      <c r="AC142" s="56"/>
      <c r="AD142" s="60"/>
      <c r="AE142" s="60"/>
      <c r="AF142" s="60"/>
      <c r="AG142" s="60"/>
      <c r="AH142" s="60"/>
      <c r="AI142" s="60"/>
      <c r="AJ142" s="60"/>
      <c r="AK142" s="60"/>
      <c r="AL142" s="60">
        <f>F142/92000</f>
        <v>179.34782608695653</v>
      </c>
      <c r="AM142" s="56"/>
    </row>
    <row r="143" spans="1:39" ht="76.5" x14ac:dyDescent="0.2">
      <c r="A143" s="227"/>
      <c r="B143" s="52" t="s">
        <v>588</v>
      </c>
      <c r="C143" s="52" t="s">
        <v>591</v>
      </c>
      <c r="D143" s="52"/>
      <c r="E143" s="52" t="s">
        <v>592</v>
      </c>
      <c r="F143" s="54">
        <v>2500000</v>
      </c>
      <c r="G143" s="61"/>
      <c r="H143" s="61"/>
      <c r="I143" s="62"/>
      <c r="J143" s="62"/>
      <c r="K143" s="62"/>
      <c r="L143" s="52"/>
      <c r="M143" s="63"/>
      <c r="N143" s="64"/>
      <c r="O143" s="64"/>
      <c r="P143" s="228"/>
      <c r="Q143" s="227"/>
      <c r="R143" s="65"/>
      <c r="S143" s="53" t="s">
        <v>593</v>
      </c>
      <c r="T143" s="53"/>
      <c r="U143" s="62"/>
      <c r="V143" s="62"/>
      <c r="W143" s="62"/>
      <c r="X143" s="62"/>
      <c r="Y143" s="62"/>
      <c r="Z143" s="62"/>
      <c r="AA143" s="52"/>
      <c r="AB143" s="62"/>
      <c r="AC143" s="62"/>
      <c r="AD143" s="60"/>
      <c r="AE143" s="60"/>
      <c r="AF143" s="60"/>
      <c r="AG143" s="60"/>
      <c r="AH143" s="60"/>
      <c r="AI143" s="60"/>
      <c r="AJ143" s="60"/>
      <c r="AK143" s="60"/>
      <c r="AL143" s="60">
        <f>F143/92000</f>
        <v>27.173913043478262</v>
      </c>
      <c r="AM143" s="62"/>
    </row>
    <row r="144" spans="1:39" ht="76.5" x14ac:dyDescent="0.2">
      <c r="A144" s="227"/>
      <c r="B144" s="52" t="s">
        <v>588</v>
      </c>
      <c r="C144" s="52" t="s">
        <v>594</v>
      </c>
      <c r="D144" s="52"/>
      <c r="E144" s="52" t="s">
        <v>595</v>
      </c>
      <c r="F144" s="54">
        <v>500000</v>
      </c>
      <c r="G144" s="61"/>
      <c r="H144" s="61"/>
      <c r="I144" s="62"/>
      <c r="J144" s="62"/>
      <c r="K144" s="62"/>
      <c r="L144" s="52"/>
      <c r="M144" s="63"/>
      <c r="N144" s="64"/>
      <c r="O144" s="64"/>
      <c r="P144" s="228"/>
      <c r="Q144" s="227"/>
      <c r="R144" s="65"/>
      <c r="S144" s="53" t="s">
        <v>596</v>
      </c>
      <c r="T144" s="53"/>
      <c r="U144" s="62"/>
      <c r="V144" s="62"/>
      <c r="W144" s="62"/>
      <c r="X144" s="62"/>
      <c r="Y144" s="62"/>
      <c r="Z144" s="62"/>
      <c r="AA144" s="52"/>
      <c r="AB144" s="62"/>
      <c r="AC144" s="62"/>
      <c r="AD144" s="60"/>
      <c r="AE144" s="60"/>
      <c r="AF144" s="60"/>
      <c r="AG144" s="60"/>
      <c r="AH144" s="60"/>
      <c r="AI144" s="60"/>
      <c r="AJ144" s="60"/>
      <c r="AK144" s="60"/>
      <c r="AL144" s="60">
        <f>F144/92000</f>
        <v>5.4347826086956523</v>
      </c>
      <c r="AM144" s="62"/>
    </row>
    <row r="145" spans="1:47" ht="76.5" x14ac:dyDescent="0.25">
      <c r="A145" s="227"/>
      <c r="B145" s="52" t="s">
        <v>588</v>
      </c>
      <c r="C145" s="52" t="s">
        <v>597</v>
      </c>
      <c r="D145" s="52"/>
      <c r="E145" s="52" t="s">
        <v>598</v>
      </c>
      <c r="F145" s="54">
        <v>1350000</v>
      </c>
      <c r="G145" s="61"/>
      <c r="H145" s="61"/>
      <c r="I145" s="62"/>
      <c r="J145" s="62"/>
      <c r="K145" s="62"/>
      <c r="L145" s="52"/>
      <c r="M145" s="63"/>
      <c r="N145" s="64"/>
      <c r="O145" s="64"/>
      <c r="P145" s="228"/>
      <c r="Q145" s="227"/>
      <c r="R145" s="229"/>
      <c r="S145" s="53"/>
      <c r="T145" s="53" t="s">
        <v>599</v>
      </c>
      <c r="U145" s="62"/>
      <c r="V145" s="62"/>
      <c r="W145" s="62"/>
      <c r="X145" s="62"/>
      <c r="Y145" s="62"/>
      <c r="Z145" s="62"/>
      <c r="AA145" s="52"/>
      <c r="AB145" s="62"/>
      <c r="AC145" s="62"/>
      <c r="AD145" s="60"/>
      <c r="AE145" s="60"/>
      <c r="AF145" s="60"/>
      <c r="AG145" s="60"/>
      <c r="AH145" s="60"/>
      <c r="AI145" s="60"/>
      <c r="AJ145" s="60"/>
      <c r="AK145" s="60"/>
      <c r="AL145" s="60">
        <f>F145/92000</f>
        <v>14.673913043478262</v>
      </c>
      <c r="AM145" s="62"/>
    </row>
    <row r="146" spans="1:47" ht="77.25" thickBot="1" x14ac:dyDescent="0.25">
      <c r="A146" s="155"/>
      <c r="B146" s="27" t="s">
        <v>588</v>
      </c>
      <c r="C146" s="27" t="s">
        <v>600</v>
      </c>
      <c r="D146" s="27"/>
      <c r="E146" s="27" t="s">
        <v>601</v>
      </c>
      <c r="F146" s="66">
        <v>2620000</v>
      </c>
      <c r="G146" s="67"/>
      <c r="H146" s="67"/>
      <c r="I146" s="68"/>
      <c r="J146" s="68"/>
      <c r="K146" s="68"/>
      <c r="L146" s="27"/>
      <c r="M146" s="69"/>
      <c r="N146" s="70"/>
      <c r="O146" s="70"/>
      <c r="P146" s="230"/>
      <c r="Q146" s="155"/>
      <c r="R146" s="71"/>
      <c r="S146" s="28"/>
      <c r="T146" s="28" t="s">
        <v>602</v>
      </c>
      <c r="U146" s="68"/>
      <c r="V146" s="68"/>
      <c r="W146" s="68"/>
      <c r="X146" s="68"/>
      <c r="Y146" s="68"/>
      <c r="Z146" s="68"/>
      <c r="AA146" s="27"/>
      <c r="AB146" s="68"/>
      <c r="AC146" s="68"/>
      <c r="AD146" s="72"/>
      <c r="AE146" s="72"/>
      <c r="AF146" s="72"/>
      <c r="AG146" s="72"/>
      <c r="AH146" s="72"/>
      <c r="AI146" s="72"/>
      <c r="AJ146" s="72"/>
      <c r="AK146" s="72"/>
      <c r="AL146" s="72">
        <f>F146/92000</f>
        <v>28.478260869565219</v>
      </c>
      <c r="AM146" s="68"/>
    </row>
    <row r="147" spans="1:47" ht="42.75" customHeight="1" x14ac:dyDescent="0.25">
      <c r="F147" s="35">
        <f>SUM(F4:F146)</f>
        <v>1220682134</v>
      </c>
      <c r="G147" s="73">
        <f>SUM(G4:G146)</f>
        <v>492358466</v>
      </c>
      <c r="H147" s="73">
        <f>SUM(H4:H146)</f>
        <v>427282666</v>
      </c>
      <c r="AL147" s="36">
        <f>SUM(AL4:AL146)</f>
        <v>13094.370152173913</v>
      </c>
      <c r="AO147" s="107"/>
      <c r="AP147" s="107"/>
      <c r="AQ147" s="107"/>
      <c r="AR147" s="107"/>
      <c r="AS147" s="107"/>
      <c r="AT147" s="107"/>
      <c r="AU147" s="107"/>
    </row>
    <row r="148" spans="1:47" ht="69.75" customHeight="1" x14ac:dyDescent="0.25">
      <c r="AO148" s="107"/>
      <c r="AP148" s="107"/>
      <c r="AQ148" s="107"/>
      <c r="AR148" s="107"/>
      <c r="AS148" s="107"/>
      <c r="AT148" s="107"/>
      <c r="AU148" s="107"/>
    </row>
    <row r="149" spans="1:47" x14ac:dyDescent="0.25">
      <c r="A149" s="233"/>
      <c r="B149" s="234"/>
      <c r="C149" s="234"/>
      <c r="D149" s="234"/>
      <c r="E149" s="234"/>
      <c r="F149" s="235"/>
      <c r="G149" s="236"/>
      <c r="H149" s="236"/>
      <c r="I149" s="234"/>
      <c r="J149" s="233"/>
      <c r="K149" s="233"/>
      <c r="L149" s="233"/>
      <c r="M149" s="237"/>
      <c r="N149" s="237"/>
      <c r="O149" s="237"/>
      <c r="P149" s="237"/>
      <c r="Q149" s="233"/>
      <c r="R149" s="234"/>
      <c r="S149" s="238"/>
      <c r="T149" s="238"/>
      <c r="U149" s="162"/>
      <c r="V149" s="239"/>
      <c r="W149" s="233"/>
      <c r="X149" s="233"/>
      <c r="Y149" s="233"/>
      <c r="Z149" s="233"/>
      <c r="AA149" s="234"/>
      <c r="AB149" s="240"/>
      <c r="AC149" s="240"/>
      <c r="AD149" s="240"/>
      <c r="AE149" s="240"/>
      <c r="AF149" s="240"/>
      <c r="AG149" s="240"/>
      <c r="AH149" s="240"/>
      <c r="AI149" s="240"/>
      <c r="AJ149" s="233"/>
      <c r="AK149" s="233"/>
      <c r="AL149" s="240"/>
      <c r="AM149" s="234"/>
    </row>
    <row r="150" spans="1:47" ht="68.25" customHeight="1" x14ac:dyDescent="0.25">
      <c r="A150" s="233"/>
      <c r="B150" s="234"/>
      <c r="C150" s="234"/>
      <c r="D150" s="234"/>
      <c r="E150" s="234"/>
      <c r="F150" s="235"/>
      <c r="G150" s="236"/>
      <c r="H150" s="236"/>
      <c r="I150" s="234"/>
      <c r="J150" s="233"/>
      <c r="K150" s="233"/>
      <c r="L150" s="233"/>
      <c r="M150" s="237"/>
      <c r="N150" s="237"/>
      <c r="O150" s="237"/>
      <c r="P150" s="237"/>
      <c r="Q150" s="233"/>
      <c r="R150" s="234"/>
      <c r="S150" s="238"/>
      <c r="T150" s="238"/>
      <c r="U150" s="162"/>
      <c r="V150" s="239"/>
      <c r="W150" s="233"/>
      <c r="X150" s="233"/>
      <c r="Y150" s="233"/>
      <c r="Z150" s="233"/>
      <c r="AA150" s="234"/>
      <c r="AB150" s="240"/>
      <c r="AC150" s="240"/>
      <c r="AD150" s="240"/>
      <c r="AE150" s="240"/>
      <c r="AF150" s="240"/>
      <c r="AG150" s="240"/>
      <c r="AH150" s="240"/>
      <c r="AI150" s="240"/>
      <c r="AJ150" s="233"/>
      <c r="AK150" s="233"/>
      <c r="AL150" s="240"/>
      <c r="AM150" s="234"/>
    </row>
    <row r="151" spans="1:47" ht="80.25" customHeight="1" x14ac:dyDescent="0.25">
      <c r="A151" s="233"/>
      <c r="B151" s="234"/>
      <c r="C151" s="234"/>
      <c r="D151" s="234"/>
      <c r="E151" s="234"/>
      <c r="F151" s="235"/>
      <c r="G151" s="236"/>
      <c r="H151" s="236"/>
      <c r="I151" s="234"/>
      <c r="J151" s="233"/>
      <c r="K151" s="233"/>
      <c r="L151" s="233"/>
      <c r="M151" s="237"/>
      <c r="N151" s="237"/>
      <c r="O151" s="237"/>
      <c r="P151" s="237"/>
      <c r="Q151" s="233"/>
      <c r="R151" s="234"/>
      <c r="S151" s="238"/>
      <c r="T151" s="238"/>
      <c r="U151" s="162"/>
      <c r="V151" s="239"/>
      <c r="W151" s="233"/>
      <c r="X151" s="233"/>
      <c r="Y151" s="233"/>
      <c r="Z151" s="233"/>
      <c r="AA151" s="234"/>
      <c r="AB151" s="240"/>
      <c r="AC151" s="240"/>
      <c r="AD151" s="240"/>
      <c r="AE151" s="240"/>
      <c r="AF151" s="240"/>
      <c r="AG151" s="240"/>
      <c r="AH151" s="240"/>
      <c r="AI151" s="240"/>
      <c r="AJ151" s="233"/>
      <c r="AK151" s="233"/>
      <c r="AL151" s="240"/>
      <c r="AM151" s="234"/>
    </row>
    <row r="152" spans="1:47" ht="70.5" customHeight="1" x14ac:dyDescent="0.25">
      <c r="A152" s="233"/>
      <c r="B152" s="234"/>
      <c r="C152" s="234"/>
      <c r="D152" s="234"/>
      <c r="E152" s="241"/>
      <c r="F152" s="235"/>
      <c r="G152" s="236"/>
      <c r="H152" s="236"/>
      <c r="I152" s="234"/>
      <c r="J152" s="233"/>
      <c r="K152" s="233"/>
      <c r="L152" s="233"/>
      <c r="M152" s="237"/>
      <c r="N152" s="237"/>
      <c r="O152" s="237"/>
      <c r="P152" s="237"/>
      <c r="Q152" s="233"/>
      <c r="R152" s="234"/>
      <c r="S152" s="238"/>
      <c r="T152" s="238"/>
      <c r="U152" s="162"/>
      <c r="V152" s="239"/>
      <c r="W152" s="233"/>
      <c r="X152" s="233"/>
      <c r="Y152" s="233"/>
      <c r="Z152" s="233"/>
      <c r="AA152" s="234"/>
      <c r="AB152" s="240"/>
      <c r="AC152" s="240"/>
      <c r="AD152" s="240"/>
      <c r="AE152" s="240"/>
      <c r="AF152" s="240"/>
      <c r="AG152" s="240"/>
      <c r="AH152" s="240"/>
      <c r="AI152" s="240"/>
      <c r="AJ152" s="233"/>
      <c r="AK152" s="233"/>
      <c r="AL152" s="240"/>
      <c r="AM152" s="234"/>
    </row>
    <row r="153" spans="1:47" x14ac:dyDescent="0.25">
      <c r="A153" s="233"/>
      <c r="B153" s="234"/>
      <c r="C153" s="234"/>
      <c r="D153" s="234"/>
      <c r="E153" s="234"/>
      <c r="F153" s="235"/>
      <c r="G153" s="236"/>
      <c r="H153" s="236"/>
      <c r="I153" s="233"/>
      <c r="J153" s="233"/>
      <c r="K153" s="233"/>
      <c r="L153" s="233"/>
      <c r="M153" s="237"/>
      <c r="N153" s="237"/>
      <c r="O153" s="237"/>
      <c r="P153" s="237"/>
      <c r="Q153" s="233"/>
      <c r="R153" s="234"/>
      <c r="S153" s="238"/>
      <c r="T153" s="238"/>
      <c r="U153" s="162"/>
      <c r="V153" s="239"/>
      <c r="W153" s="233"/>
      <c r="X153" s="233"/>
      <c r="Y153" s="233"/>
      <c r="Z153" s="233"/>
      <c r="AA153" s="234"/>
      <c r="AB153" s="240"/>
      <c r="AC153" s="240"/>
      <c r="AD153" s="240"/>
      <c r="AE153" s="240"/>
      <c r="AF153" s="240"/>
      <c r="AG153" s="240"/>
      <c r="AH153" s="240"/>
      <c r="AI153" s="240"/>
      <c r="AJ153" s="233"/>
      <c r="AK153" s="233"/>
      <c r="AL153" s="240"/>
      <c r="AM153" s="234"/>
    </row>
    <row r="154" spans="1:47" x14ac:dyDescent="0.25">
      <c r="A154" s="233"/>
      <c r="B154" s="234"/>
      <c r="C154" s="234"/>
      <c r="D154" s="234"/>
      <c r="E154" s="241"/>
      <c r="F154" s="236"/>
      <c r="G154" s="236"/>
      <c r="H154" s="236"/>
      <c r="I154" s="233"/>
      <c r="J154" s="233"/>
      <c r="K154" s="233"/>
      <c r="L154" s="233"/>
      <c r="M154" s="237"/>
      <c r="N154" s="237"/>
      <c r="O154" s="237"/>
      <c r="P154" s="237"/>
      <c r="Q154" s="233"/>
      <c r="R154" s="234"/>
      <c r="S154" s="238"/>
      <c r="T154" s="238"/>
      <c r="U154" s="162"/>
      <c r="V154" s="239"/>
      <c r="W154" s="233"/>
      <c r="X154" s="233"/>
      <c r="Y154" s="233"/>
      <c r="Z154" s="233"/>
      <c r="AA154" s="234"/>
      <c r="AB154" s="240"/>
      <c r="AC154" s="240"/>
      <c r="AD154" s="240"/>
      <c r="AE154" s="240"/>
      <c r="AF154" s="240"/>
      <c r="AG154" s="240"/>
      <c r="AH154" s="240"/>
      <c r="AI154" s="240"/>
      <c r="AJ154" s="233"/>
      <c r="AK154" s="233"/>
      <c r="AL154" s="240"/>
      <c r="AM154" s="234"/>
    </row>
    <row r="155" spans="1:47" x14ac:dyDescent="0.25">
      <c r="A155" s="233"/>
      <c r="B155" s="234"/>
      <c r="C155" s="234"/>
      <c r="D155" s="234"/>
      <c r="E155" s="241"/>
      <c r="F155" s="235"/>
      <c r="G155" s="236"/>
      <c r="H155" s="236"/>
      <c r="I155" s="233"/>
      <c r="J155" s="233"/>
      <c r="K155" s="233"/>
      <c r="L155" s="233"/>
      <c r="M155" s="237"/>
      <c r="N155" s="237"/>
      <c r="O155" s="237"/>
      <c r="P155" s="237"/>
      <c r="Q155" s="233"/>
      <c r="R155" s="234"/>
      <c r="S155" s="238"/>
      <c r="T155" s="238"/>
      <c r="U155" s="162"/>
      <c r="V155" s="239"/>
      <c r="W155" s="233"/>
      <c r="X155" s="233"/>
      <c r="Y155" s="233"/>
      <c r="Z155" s="233"/>
      <c r="AA155" s="234"/>
      <c r="AB155" s="240"/>
      <c r="AC155" s="240"/>
      <c r="AD155" s="240"/>
      <c r="AE155" s="240"/>
      <c r="AF155" s="240"/>
      <c r="AG155" s="240"/>
      <c r="AH155" s="240"/>
      <c r="AI155" s="240"/>
      <c r="AJ155" s="233"/>
      <c r="AK155" s="233"/>
      <c r="AL155" s="240"/>
      <c r="AM155" s="234"/>
    </row>
    <row r="156" spans="1:47" x14ac:dyDescent="0.25">
      <c r="A156" s="242"/>
      <c r="B156" s="243"/>
      <c r="C156" s="243"/>
      <c r="D156" s="243"/>
      <c r="E156" s="243"/>
      <c r="F156" s="244"/>
      <c r="G156" s="244"/>
      <c r="H156" s="244"/>
      <c r="I156" s="242"/>
      <c r="J156" s="242"/>
      <c r="K156" s="242"/>
      <c r="L156" s="242"/>
      <c r="M156" s="244"/>
      <c r="N156" s="244"/>
      <c r="O156" s="244"/>
      <c r="P156" s="242"/>
      <c r="Q156" s="242"/>
      <c r="R156" s="242"/>
      <c r="S156" s="242"/>
      <c r="T156" s="242"/>
      <c r="U156" s="245"/>
      <c r="V156" s="245"/>
      <c r="W156" s="242"/>
      <c r="X156" s="242"/>
      <c r="Y156" s="242"/>
      <c r="Z156" s="242"/>
      <c r="AA156" s="242"/>
      <c r="AB156" s="242"/>
      <c r="AC156" s="242"/>
      <c r="AD156" s="242"/>
      <c r="AE156" s="242"/>
      <c r="AF156" s="242"/>
      <c r="AG156" s="242"/>
      <c r="AH156" s="242"/>
      <c r="AI156" s="242"/>
      <c r="AJ156" s="242"/>
      <c r="AK156" s="242"/>
      <c r="AL156" s="242"/>
      <c r="AM156" s="242"/>
    </row>
  </sheetData>
  <mergeCells count="32">
    <mergeCell ref="AO4:AU4"/>
    <mergeCell ref="AO5:AU5"/>
    <mergeCell ref="AB1:AI1"/>
    <mergeCell ref="AO1:AU2"/>
    <mergeCell ref="T1:T2"/>
    <mergeCell ref="U1:U2"/>
    <mergeCell ref="V1:V2"/>
    <mergeCell ref="W1:W2"/>
    <mergeCell ref="X1:X2"/>
    <mergeCell ref="Y1:Y2"/>
    <mergeCell ref="Z1:Z2"/>
    <mergeCell ref="AA1:AA2"/>
    <mergeCell ref="AJ1:AJ2"/>
    <mergeCell ref="AK1:AK2"/>
    <mergeCell ref="AL1:AL2"/>
    <mergeCell ref="AM1:AM2"/>
    <mergeCell ref="D1:D2"/>
    <mergeCell ref="A1:A2"/>
    <mergeCell ref="B1:B2"/>
    <mergeCell ref="C1:C2"/>
    <mergeCell ref="E1:E2"/>
    <mergeCell ref="F1:F2"/>
    <mergeCell ref="G1:G2"/>
    <mergeCell ref="H1:H2"/>
    <mergeCell ref="I1:I2"/>
    <mergeCell ref="J1:J2"/>
    <mergeCell ref="K1:K2"/>
    <mergeCell ref="L1:L2"/>
    <mergeCell ref="Q1:Q2"/>
    <mergeCell ref="R1:R2"/>
    <mergeCell ref="S1:S2"/>
    <mergeCell ref="M1:P1"/>
  </mergeCells>
  <pageMargins left="0.7" right="0.7" top="0.75" bottom="0.75" header="0.3" footer="0.3"/>
  <pageSetup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List</vt:lpstr>
      <vt:lpstr>'Master List'!Print_Area</vt:lpstr>
    </vt:vector>
  </TitlesOfParts>
  <Company>City of Roseville, 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Mattock, Noelle</dc:creator>
  <cp:lastModifiedBy>Monica Garcia</cp:lastModifiedBy>
  <dcterms:created xsi:type="dcterms:W3CDTF">2020-03-27T22:40:07Z</dcterms:created>
  <dcterms:modified xsi:type="dcterms:W3CDTF">2020-05-08T23:27:50Z</dcterms:modified>
</cp:coreProperties>
</file>